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. Transporte Escolar Van" sheetId="1" r:id="rId1"/>
    <sheet name="16.Encargos Sociais" sheetId="2" r:id="rId2"/>
    <sheet name="17.CAGED" sheetId="3" r:id="rId3"/>
    <sheet name="18.BDI" sheetId="4" r:id="rId4"/>
    <sheet name="19. Depreciação" sheetId="5" r:id="rId5"/>
    <sheet name="Médias" sheetId="6" r:id="rId6"/>
  </sheets>
  <definedNames>
    <definedName name="AbaDeprec">'19. Depreciação'!$A$1</definedName>
    <definedName name="AbaRemun">#REF!</definedName>
    <definedName name="_xlnm.Print_Area" localSheetId="0">'1. Transporte Escolar Van'!$A$1:$H$169</definedName>
    <definedName name="Google_Sheet_Link_1080678013">AbaDeprec</definedName>
    <definedName name="Google_Sheet_Link_1283984240">AbaDeprec</definedName>
    <definedName name="Google_Sheet_Link_1352214653">AbaDeprec</definedName>
    <definedName name="Google_Sheet_Link_1653490250">AbaDeprec</definedName>
    <definedName name="Google_Sheet_Link_1771193190">AbaDeprec</definedName>
    <definedName name="Google_Sheet_Link_1821469400">AbaDeprec</definedName>
    <definedName name="Google_Sheet_Link_188411900">AbaDeprec</definedName>
    <definedName name="Google_Sheet_Link_191308448">AbaDeprec</definedName>
    <definedName name="Google_Sheet_Link_1940138237">AbaDeprec</definedName>
    <definedName name="Google_Sheet_Link_543727741">AbaDeprec</definedName>
    <definedName name="Google_Sheet_Link_570812577">AbaDeprec</definedName>
    <definedName name="Google_Sheet_Link_577369567">AbaDeprec</definedName>
    <definedName name="Google_Sheet_Link_608649082">AbaDeprec</definedName>
    <definedName name="Google_Sheet_Link_968232355">AbaDeprec</definedName>
    <definedName name="Print_Area_0_0" localSheetId="0">'1. Transporte Escolar Van'!$A$3:$F$164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6" l="1"/>
  <c r="D50" i="6"/>
  <c r="D52" i="6" s="1"/>
  <c r="D49" i="6"/>
  <c r="D44" i="6"/>
  <c r="D43" i="6"/>
  <c r="D45" i="6" s="1"/>
  <c r="D131" i="1" s="1"/>
  <c r="E131" i="1" s="1"/>
  <c r="D42" i="6"/>
  <c r="D37" i="6"/>
  <c r="D36" i="6"/>
  <c r="D38" i="6" s="1"/>
  <c r="D35" i="6"/>
  <c r="C30" i="6"/>
  <c r="C29" i="6"/>
  <c r="C31" i="6" s="1"/>
  <c r="D124" i="1" s="1"/>
  <c r="C28" i="6"/>
  <c r="C23" i="6"/>
  <c r="C22" i="6"/>
  <c r="C24" i="6" s="1"/>
  <c r="D122" i="1" s="1"/>
  <c r="C21" i="6"/>
  <c r="B15" i="6"/>
  <c r="D15" i="6" s="1"/>
  <c r="B14" i="6"/>
  <c r="D14" i="6" s="1"/>
  <c r="B13" i="6"/>
  <c r="D13" i="6" s="1"/>
  <c r="D16" i="6" s="1"/>
  <c r="D76" i="1" s="1"/>
  <c r="E76" i="1" s="1"/>
  <c r="E81" i="1" s="1"/>
  <c r="F82" i="1" s="1"/>
  <c r="D7" i="6"/>
  <c r="B7" i="6"/>
  <c r="D6" i="6"/>
  <c r="B6" i="6"/>
  <c r="D5" i="6"/>
  <c r="D8" i="6" s="1"/>
  <c r="B5" i="6"/>
  <c r="C21" i="4"/>
  <c r="C16" i="4"/>
  <c r="F14" i="4"/>
  <c r="E14" i="4"/>
  <c r="D14" i="4"/>
  <c r="C29" i="3"/>
  <c r="C30" i="3" s="1"/>
  <c r="C27" i="3"/>
  <c r="C36" i="2"/>
  <c r="C33" i="2"/>
  <c r="C21" i="2"/>
  <c r="C26" i="2" s="1"/>
  <c r="C18" i="2"/>
  <c r="C155" i="1"/>
  <c r="E144" i="1"/>
  <c r="E142" i="1"/>
  <c r="D143" i="1" s="1"/>
  <c r="E143" i="1" s="1"/>
  <c r="F144" i="1" s="1"/>
  <c r="D141" i="1"/>
  <c r="E141" i="1" s="1"/>
  <c r="E140" i="1"/>
  <c r="D116" i="1"/>
  <c r="E116" i="1" s="1"/>
  <c r="F117" i="1" s="1"/>
  <c r="F118" i="1" s="1"/>
  <c r="E115" i="1"/>
  <c r="E114" i="1"/>
  <c r="D114" i="1"/>
  <c r="E113" i="1"/>
  <c r="E112" i="1"/>
  <c r="C105" i="1"/>
  <c r="C104" i="1"/>
  <c r="E104" i="1" s="1"/>
  <c r="D105" i="1" s="1"/>
  <c r="E105" i="1" s="1"/>
  <c r="E101" i="1"/>
  <c r="D104" i="1" s="1"/>
  <c r="C100" i="1"/>
  <c r="C99" i="1"/>
  <c r="E96" i="1"/>
  <c r="D99" i="1" s="1"/>
  <c r="E82" i="1"/>
  <c r="E79" i="1"/>
  <c r="E78" i="1"/>
  <c r="E77" i="1"/>
  <c r="E68" i="1"/>
  <c r="E67" i="1"/>
  <c r="C61" i="1"/>
  <c r="E61" i="1" s="1"/>
  <c r="D60" i="1"/>
  <c r="C60" i="1"/>
  <c r="E60" i="1" s="1"/>
  <c r="E48" i="1"/>
  <c r="E49" i="1" s="1"/>
  <c r="D48" i="1"/>
  <c r="E39" i="1"/>
  <c r="D39" i="1"/>
  <c r="C36" i="1"/>
  <c r="E36" i="1" s="1"/>
  <c r="E34" i="1"/>
  <c r="C33" i="1"/>
  <c r="E31" i="1"/>
  <c r="C30" i="1"/>
  <c r="D27" i="1"/>
  <c r="D36" i="1" s="1"/>
  <c r="E18" i="1"/>
  <c r="C132" i="1" s="1"/>
  <c r="E15" i="1"/>
  <c r="A15" i="1"/>
  <c r="A11" i="1"/>
  <c r="E8" i="1"/>
  <c r="E12" i="1" s="1"/>
  <c r="A8" i="1"/>
  <c r="D50" i="1" l="1"/>
  <c r="E99" i="1"/>
  <c r="D100" i="1" s="1"/>
  <c r="E100" i="1" s="1"/>
  <c r="E106" i="1" s="1"/>
  <c r="D107" i="1" s="1"/>
  <c r="E107" i="1" s="1"/>
  <c r="F108" i="1" s="1"/>
  <c r="F109" i="1" s="1"/>
  <c r="C35" i="2"/>
  <c r="C37" i="2" s="1"/>
  <c r="C38" i="2" s="1"/>
  <c r="E132" i="1"/>
  <c r="F133" i="1" s="1"/>
  <c r="C31" i="3"/>
  <c r="E69" i="1"/>
  <c r="F70" i="1" s="1"/>
  <c r="E27" i="1"/>
  <c r="D30" i="1"/>
  <c r="E30" i="1" s="1"/>
  <c r="D33" i="1"/>
  <c r="E33" i="1" s="1"/>
  <c r="D37" i="1" s="1"/>
  <c r="E37" i="1" s="1"/>
  <c r="C123" i="1"/>
  <c r="D123" i="1" s="1"/>
  <c r="E123" i="1" s="1"/>
  <c r="F127" i="1" s="1"/>
  <c r="F128" i="1" s="1"/>
  <c r="C125" i="1"/>
  <c r="E125" i="1" s="1"/>
  <c r="C32" i="3" l="1"/>
  <c r="C37" i="3"/>
  <c r="C50" i="1"/>
  <c r="C41" i="1"/>
  <c r="F135" i="1"/>
  <c r="E40" i="1"/>
  <c r="E50" i="1"/>
  <c r="E51" i="1" s="1"/>
  <c r="D52" i="1" s="1"/>
  <c r="E52" i="1" s="1"/>
  <c r="F53" i="1" s="1"/>
  <c r="F86" i="1" s="1"/>
  <c r="D41" i="1" l="1"/>
  <c r="E41" i="1" s="1"/>
  <c r="E42" i="1" s="1"/>
  <c r="D43" i="1" s="1"/>
  <c r="E43" i="1" s="1"/>
  <c r="F44" i="1" s="1"/>
  <c r="F85" i="1" s="1"/>
  <c r="F87" i="1" s="1"/>
  <c r="F147" i="1" l="1"/>
  <c r="F88" i="1"/>
  <c r="F149" i="1" l="1"/>
  <c r="D155" i="1"/>
  <c r="E155" i="1" s="1"/>
  <c r="F156" i="1" s="1"/>
  <c r="F158" i="1" s="1"/>
  <c r="F159" i="1" s="1"/>
  <c r="F148" i="1"/>
  <c r="F161" i="1" l="1"/>
  <c r="F150" i="1"/>
  <c r="F164" i="1" l="1"/>
  <c r="F165" i="1" s="1"/>
  <c r="F162" i="1"/>
</calcChain>
</file>

<file path=xl/comments1.xml><?xml version="1.0" encoding="utf-8"?>
<comments xmlns="http://schemas.openxmlformats.org/spreadsheetml/2006/main">
  <authors>
    <author>Autor desconhecido</author>
  </authors>
  <commentList>
    <comment ref="B21" authorId="0">
      <text>
        <r>
          <rPr>
            <sz val="10"/>
            <rFont val="Arial"/>
            <family val="2"/>
          </rPr>
          <t xml:space="preserve">
Informar o fator de utilização.
Por exemplo:
Equipes com utilização integral = 100%
Equipes com utilização parcial = n° horas trabalhadas por semana /44 horas</t>
        </r>
      </text>
    </comment>
    <comment ref="C41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0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D58" authorId="0">
      <text>
        <r>
          <rPr>
            <sz val="10"/>
            <rFont val="Arial"/>
            <family val="2"/>
          </rPr>
          <t xml:space="preserve">
Informar o valor unitário do VT no município</t>
        </r>
      </text>
    </comment>
    <comment ref="C59" authorId="0">
      <text>
        <r>
          <rPr>
            <sz val="10"/>
            <rFont val="Arial"/>
            <family val="2"/>
          </rPr>
          <t xml:space="preserve">
Informar o número médio de dias trabalhados por mês</t>
        </r>
      </text>
    </comment>
    <comment ref="D60" authorId="0">
      <text>
        <r>
          <rPr>
            <sz val="10"/>
            <rFont val="Arial"/>
            <family val="2"/>
          </rPr>
          <t xml:space="preserve">
Valor Unitário considerando o desconto legal de até 6% do salário</t>
        </r>
      </text>
    </comment>
    <comment ref="D69" authorId="0">
      <text>
        <r>
          <rPr>
            <sz val="10"/>
            <rFont val="Arial"/>
            <family val="2"/>
          </rPr>
          <t xml:space="preserve">
Informar o valor unitário diário do vale refeição, considerando o desconto aplicável ao funcionário, conforme Convenção Coletiva da categoria.</t>
        </r>
      </text>
    </comment>
    <comment ref="D96" authorId="0">
      <text>
        <r>
          <rPr>
            <sz val="10"/>
            <rFont val="Arial"/>
            <family val="2"/>
          </rPr>
          <t>Informar o preço unitário novo com todos os impostos inclusos</t>
        </r>
      </text>
    </comment>
    <comment ref="C99" authorId="0">
      <text>
        <r>
          <rPr>
            <sz val="10"/>
            <rFont val="Arial"/>
            <family val="2"/>
          </rPr>
          <t xml:space="preserve">
Informar o valor da depreciação do caminhão, adotando o valor sugerido pelo TCE ou outro valor estimado</t>
        </r>
      </text>
    </comment>
    <comment ref="D101" authorId="0">
      <text>
        <r>
          <rPr>
            <sz val="10"/>
            <rFont val="Arial"/>
            <family val="2"/>
          </rPr>
          <t xml:space="preserve">
Informar o preço unitário do equipamento compactador</t>
        </r>
      </text>
    </comment>
    <comment ref="C122" authorId="0">
      <text>
        <r>
          <rPr>
            <sz val="10"/>
            <rFont val="Arial"/>
            <family val="2"/>
          </rPr>
          <t xml:space="preserve">
Informar o consumo estimado do veículo em km/l</t>
        </r>
      </text>
    </comment>
    <comment ref="D122" authorId="0">
      <text>
        <r>
          <rPr>
            <sz val="10"/>
            <rFont val="Arial"/>
            <family val="2"/>
          </rPr>
          <t xml:space="preserve">
Informar o preço unitário do combustivel (Preferencia Preço ANP)</t>
        </r>
      </text>
    </comment>
    <comment ref="C155" authorId="0">
      <text>
        <r>
          <rPr>
            <sz val="10"/>
            <rFont val="Arial"/>
            <family val="2"/>
          </rPr>
          <t xml:space="preserve">
Preencher a aba 4.BDI</t>
        </r>
      </text>
    </comment>
  </commentList>
</comments>
</file>

<file path=xl/comments2.xml><?xml version="1.0" encoding="utf-8"?>
<comments xmlns="http://schemas.openxmlformats.org/spreadsheetml/2006/main">
  <authors>
    <author>Autor desconhecido</author>
  </authors>
  <commentList>
    <comment ref="C13" authorId="0">
      <text>
        <r>
          <rPr>
            <sz val="10"/>
            <rFont val="Arial"/>
            <family val="2"/>
          </rPr>
          <t>======
ID#AAAAYjQmf_E
Clauber Bridi    (2022-04-25 19:22:00)
Informar o % de Administração Central estimado</t>
        </r>
      </text>
    </comment>
    <comment ref="C14" authorId="0">
      <text>
        <r>
          <rPr>
            <sz val="10"/>
            <rFont val="Arial"/>
            <family val="2"/>
          </rPr>
          <t>======
ID#AAAAYjQmfxA
Clauber Bridi    (2022-04-25 19:22:00)
Informar o % de Seguros, Riscos e Garantia estimado</t>
        </r>
      </text>
    </comment>
    <comment ref="C15" authorId="0">
      <text>
        <r>
          <rPr>
            <sz val="10"/>
            <rFont val="Arial"/>
            <family val="2"/>
          </rPr>
          <t>======
ID#AAAAYjQmgAA
Clauber Bridi    (2022-04-25 19:22:00)
Informar o % de Lucro estimado</t>
        </r>
      </text>
    </comment>
    <comment ref="E16" authorId="0">
      <text>
        <r>
          <rPr>
            <sz val="10"/>
            <rFont val="Arial"/>
            <family val="2"/>
          </rPr>
          <t>======
ID#AAAAYjQmgJ4
Clauber Bridi    (2022-04-25 19:22:00)
Informar o valor anual da taxa financeira, em percentual. Admite-se utilizar a SELIC</t>
        </r>
      </text>
    </comment>
    <comment ref="C17" authorId="0">
      <text>
        <r>
          <rPr>
            <sz val="10"/>
            <rFont val="Arial"/>
            <family val="2"/>
          </rPr>
          <t>======
ID#AAAAYjQmf8s
Clauber Bridi    (2022-04-25 19:22:00)
Informar o percentual de ISS, de acordo com a legislação tributária do município onde serão prestados os serviços. De 2% até o limite de 5%.</t>
        </r>
      </text>
    </comment>
    <comment ref="E17" authorId="0">
      <text>
        <r>
          <rPr>
            <sz val="10"/>
            <rFont val="Arial"/>
            <family val="2"/>
          </rPr>
          <t>======
ID#AAAAYjQmgcc
Clauber Bridi    (2022-04-25 19:22:01)
Informar a média de dias úteis entre data de pagamento prevista no contrato e a data final do período de adimplemento da parcela</t>
        </r>
      </text>
    </comment>
    <comment ref="C18" authorId="0">
      <text>
        <r>
          <rPr>
            <sz val="10"/>
            <rFont val="Arial"/>
            <family val="2"/>
          </rPr>
          <t>======
ID#AAAAYjQmgaU
Clauber Bridi    (2022-04-25 19:22:00)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<sst xmlns="http://schemas.openxmlformats.org/spreadsheetml/2006/main" count="434" uniqueCount="274">
  <si>
    <t>TRANSPORTE ESCOLAR</t>
  </si>
  <si>
    <t xml:space="preserve"> Transporte Escolar</t>
  </si>
  <si>
    <t>Planilha de Composição de Custos MODELO MICROONIBUS</t>
  </si>
  <si>
    <t>Quantitativos</t>
  </si>
  <si>
    <t>Mão-de-obra</t>
  </si>
  <si>
    <t>Quantidade</t>
  </si>
  <si>
    <t>Convenção Coletiva 2025/2026</t>
  </si>
  <si>
    <t>SINDICATO TRAB TRANSP ROD INTERM INTEREST TUR FRET DO R – RS004490/2025</t>
  </si>
  <si>
    <t>Total de mão-de-obra (postos de trabalho)</t>
  </si>
  <si>
    <t>Veículos e Equipamentos</t>
  </si>
  <si>
    <t>Média de dias Letivos</t>
  </si>
  <si>
    <t>Km Rodados ao dia</t>
  </si>
  <si>
    <t>Total Km Rodados ao mês</t>
  </si>
  <si>
    <t>Fator de utilização (FU)</t>
  </si>
  <si>
    <t>1. Mão-de-obra</t>
  </si>
  <si>
    <t>1.1. Motorista</t>
  </si>
  <si>
    <t>Discriminação</t>
  </si>
  <si>
    <t>Unidade</t>
  </si>
  <si>
    <t>Custo unitário</t>
  </si>
  <si>
    <t>Subtotal</t>
  </si>
  <si>
    <r>
      <rPr>
        <b/>
        <sz val="9"/>
        <color rgb="FF000000"/>
        <rFont val="Arial"/>
        <charset val="1"/>
      </rPr>
      <t xml:space="preserve">Total </t>
    </r>
    <r>
      <rPr>
        <b/>
        <u/>
        <sz val="9"/>
        <color rgb="FF000000"/>
        <rFont val="Arial"/>
        <charset val="1"/>
      </rPr>
      <t>(R$)</t>
    </r>
  </si>
  <si>
    <t>Piso da categoria (2)</t>
  </si>
  <si>
    <t>mês</t>
  </si>
  <si>
    <t>Salário mínimo nacional (1)</t>
  </si>
  <si>
    <t>Adicional Noturno</t>
  </si>
  <si>
    <t>horas trabalhadas</t>
  </si>
  <si>
    <t>hora contabilizada</t>
  </si>
  <si>
    <t>Horas Extras (100%)</t>
  </si>
  <si>
    <t>hora</t>
  </si>
  <si>
    <t>Horas Extras Noturnas (100%)</t>
  </si>
  <si>
    <t>Horas Extras (50%)</t>
  </si>
  <si>
    <t>Horas Extras Noturnas (50%)</t>
  </si>
  <si>
    <t>Descanso Semanal Remunerado (DSR) - hora extra</t>
  </si>
  <si>
    <t>R$</t>
  </si>
  <si>
    <t>Base de cálculo da Insalubridade</t>
  </si>
  <si>
    <t>Adicional de Insalubridade</t>
  </si>
  <si>
    <t>%</t>
  </si>
  <si>
    <t>Soma</t>
  </si>
  <si>
    <t>Encargos Sociais</t>
  </si>
  <si>
    <t xml:space="preserve">Total por funcionário </t>
  </si>
  <si>
    <t>Total do Efetivo</t>
  </si>
  <si>
    <t>homem</t>
  </si>
  <si>
    <t>Fator de utilização</t>
  </si>
  <si>
    <t>1.2. Monitor</t>
  </si>
  <si>
    <t>1.3. Vale Transporte</t>
  </si>
  <si>
    <t>Vale Transporte</t>
  </si>
  <si>
    <t>Dias Trabalhados por mês</t>
  </si>
  <si>
    <t>dia</t>
  </si>
  <si>
    <t>Motorista</t>
  </si>
  <si>
    <t>vale</t>
  </si>
  <si>
    <t>Monitor</t>
  </si>
  <si>
    <t>1.4. Vale-refeição (diário)</t>
  </si>
  <si>
    <t>unidade</t>
  </si>
  <si>
    <t>Dedução folha 5,07% Cláusula 7ª, §1º CCT</t>
  </si>
  <si>
    <t>Estipuladfo pela Cláusula 7ª, §1º CCT</t>
  </si>
  <si>
    <t xml:space="preserve">1.5.itens de Segurança </t>
  </si>
  <si>
    <t>Durabilidade (meses)</t>
  </si>
  <si>
    <t xml:space="preserve">Quantidade de carga de extintor </t>
  </si>
  <si>
    <t>carga extintor</t>
  </si>
  <si>
    <t xml:space="preserve">disco diagrama tacógrafo diário (7dias) 4 caixas </t>
  </si>
  <si>
    <t xml:space="preserve">aferição / selagem cronotacógrafo + guia INMETRO </t>
  </si>
  <si>
    <t>Cronotacógrafo</t>
  </si>
  <si>
    <t xml:space="preserve">Total do custo de segurança </t>
  </si>
  <si>
    <t>veículo</t>
  </si>
  <si>
    <t>Custo Mensal Motorista (R$/mês)</t>
  </si>
  <si>
    <t>Custo Mensal Monitor (R$/mês)</t>
  </si>
  <si>
    <t>Custo Mensal com Mão-de-obra (R$/mês)</t>
  </si>
  <si>
    <t>Custo da mão-de-obra por Km (R$/Km)</t>
  </si>
  <si>
    <t>R$/Km</t>
  </si>
  <si>
    <t>2. Veículos</t>
  </si>
  <si>
    <t>2.1. Veículo</t>
  </si>
  <si>
    <t>2.1.1. Depreciação</t>
  </si>
  <si>
    <t>Custo de aquisição do chassis</t>
  </si>
  <si>
    <t>Vida útil do chassis</t>
  </si>
  <si>
    <t>anos</t>
  </si>
  <si>
    <t>Idade do veículo</t>
  </si>
  <si>
    <t>Depreciação do chassis</t>
  </si>
  <si>
    <t xml:space="preserve">Depreciação mensal veículos/máquinas </t>
  </si>
  <si>
    <t xml:space="preserve">Custo de aquisição da Pá Carregadeira </t>
  </si>
  <si>
    <t>Idade do chassis</t>
  </si>
  <si>
    <t>Depreciação mensal do chassis</t>
  </si>
  <si>
    <t>Total por veículo/máquina</t>
  </si>
  <si>
    <t>Total da frota</t>
  </si>
  <si>
    <t>2.1.2. Impostos e Seguros</t>
  </si>
  <si>
    <t>Seguro obrigatório</t>
  </si>
  <si>
    <t xml:space="preserve">Laudo técnico escolar - Inspeção de segurança </t>
  </si>
  <si>
    <t xml:space="preserve">IPVA/Licenciamento de Seguro Obrigatório </t>
  </si>
  <si>
    <t xml:space="preserve">Seguro Contra Terceiros </t>
  </si>
  <si>
    <t>Impostos e seguros mensais</t>
  </si>
  <si>
    <t xml:space="preserve">2.1.3. Consumos óleo diesel </t>
  </si>
  <si>
    <t>Consumo</t>
  </si>
  <si>
    <t xml:space="preserve">Custo de óleo diesel / Quilômetro </t>
  </si>
  <si>
    <t>Km/L</t>
  </si>
  <si>
    <t>Custo mensal com óleo diesel</t>
  </si>
  <si>
    <t>R$/Mês</t>
  </si>
  <si>
    <t xml:space="preserve">Custo de óleo de motor / 1.000 km rodados </t>
  </si>
  <si>
    <t>l / 1.000 km</t>
  </si>
  <si>
    <t xml:space="preserve">Custo mensal com óleo de motor </t>
  </si>
  <si>
    <t>km</t>
  </si>
  <si>
    <t>Custo com consumo / km rodado</t>
  </si>
  <si>
    <t xml:space="preserve">2.1.4. Manutenção/Consumos </t>
  </si>
  <si>
    <t>'</t>
  </si>
  <si>
    <t>Troca Km</t>
  </si>
  <si>
    <t>Unitário</t>
  </si>
  <si>
    <t>Pneus</t>
  </si>
  <si>
    <t>Km Rodado Mensal</t>
  </si>
  <si>
    <t>Custo Pneu Mês</t>
  </si>
  <si>
    <t>Custo Mensal com Veículos e Equipamentos (R$/mês)</t>
  </si>
  <si>
    <t xml:space="preserve">5. Monitoramento da frota  </t>
  </si>
  <si>
    <t>Implantação dos equipamentos de monitoramento</t>
  </si>
  <si>
    <t>cj</t>
  </si>
  <si>
    <t>Custo mensal com implantação</t>
  </si>
  <si>
    <t>Custo mensal com manutenção</t>
  </si>
  <si>
    <t xml:space="preserve">Veículo </t>
  </si>
  <si>
    <t>CUSTO TOTAL MENSAL COM DESPESAS OPERACIONAIS (R$/mês)</t>
  </si>
  <si>
    <t>CUSTO TOTAL MENSAL COM DESPESAS OPERACIONAIS (R$/Km)</t>
  </si>
  <si>
    <t>ADICIONAL DIFICIL ACESSO (R$/mês)</t>
  </si>
  <si>
    <t>FATOR</t>
  </si>
  <si>
    <t>ADICIONAL DIFICIL ACESSO (R$/Km)</t>
  </si>
  <si>
    <t>4. Benefícios e Despesas Indiretas - BDI</t>
  </si>
  <si>
    <t>Benefícios e despesas indiretas</t>
  </si>
  <si>
    <t>CUSTO MENSAL COM BDI (R$/mês)</t>
  </si>
  <si>
    <t>CUSTO MENSAL COM BDI (R$/Km)</t>
  </si>
  <si>
    <t>PREÇO MENSAL TOTAL (R$/mês)</t>
  </si>
  <si>
    <t>PREÇO MENSAL TOTAL (R$/Km)</t>
  </si>
  <si>
    <t xml:space="preserve"> PREVISTO (%)</t>
  </si>
  <si>
    <t>Orientações para preenchimento:</t>
  </si>
  <si>
    <t>1. Preencha previamente os dados de entrada na planilha 3.CAGED</t>
  </si>
  <si>
    <t>O TCE/RS não se responsabiliza pelo uso incorreto desta planilha.</t>
  </si>
  <si>
    <t xml:space="preserve">O orçamento deve ser realizado por responsável técnico habilitado e </t>
  </si>
  <si>
    <t>é de responsabilidade do seu autor.</t>
  </si>
  <si>
    <t xml:space="preserve">3.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</si>
  <si>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</si>
  <si>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</si>
  <si>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</si>
  <si>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</si>
  <si>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</si>
  <si>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</si>
  <si>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</si>
  <si>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</si>
  <si>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</si>
  <si>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</si>
  <si>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</si>
  <si>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</si>
  <si>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</si>
  <si>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</si>
  <si>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</si>
  <si>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</si>
  <si>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</si>
  <si>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</si>
  <si>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</si>
  <si>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</si>
  <si>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</si>
  <si>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</si>
  <si>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</si>
  <si>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</si>
  <si>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</si>
  <si>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</si>
  <si>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</si>
  <si>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</si>
  <si>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</si>
  <si>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</si>
  <si>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</si>
  <si>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</si>
  <si>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</si>
  <si>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</si>
  <si>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</si>
  <si>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</si>
  <si>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</si>
  <si>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</si>
  <si>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</si>
  <si>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</si>
  <si>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</si>
  <si>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</si>
  <si>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</si>
  <si>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</si>
  <si>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</si>
  <si>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</si>
  <si>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</si>
  <si>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</si>
  <si>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</si>
  <si>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</si>
  <si>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</si>
  <si>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</si>
  <si>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</si>
  <si>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</si>
  <si>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 xml:space="preserve">CÁLCULO DAS VERBAS INDENIZATÓRIAS DOS EMPREGADOS NO SETOR </t>
  </si>
  <si>
    <t>Para preencher esta planilha siga os passos 1 a 5:</t>
  </si>
  <si>
    <t xml:space="preserve">1. Acesse o Portal do CAGED no link http://bi.mte.gov.br/cagedestabelecimento/pages/consulta.xhtml </t>
  </si>
  <si>
    <t>2. Na Especificação da Consulta, selecione "Demonstrativo por período" e informe as competências relativas ao período Inicial e Final (últimos 12 meses)</t>
  </si>
  <si>
    <t>3. Nível Geográfico: selecione "Unidade da Federação" e marque a opção "Rio Grande do Sul"</t>
  </si>
  <si>
    <t xml:space="preserve">4. Nível Setorial: selecione "Classe de atividade econômica segundo a classificação CNAE – versão 2.0 (669 categorias)" e marque a opção </t>
  </si>
  <si>
    <t>5. Clique em Gerar Relatório</t>
  </si>
  <si>
    <t>6. Preencha as células em amarelo</t>
  </si>
  <si>
    <t>4. CAGED</t>
  </si>
  <si>
    <t xml:space="preserve">Rio Grande do Sul  - 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</si>
  <si>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</si>
  <si>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</si>
  <si>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</si>
  <si>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</si>
  <si>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</si>
  <si>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</si>
  <si>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</si>
  <si>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</si>
  <si>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</si>
  <si>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</si>
  <si>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</si>
  <si>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 xml:space="preserve"> </t>
  </si>
  <si>
    <t>Indicadores</t>
  </si>
  <si>
    <t>Estoque recuperado início do Período 01-03-2018</t>
  </si>
  <si>
    <t>Estoque recuperado final do Período 28-02-2019</t>
  </si>
  <si>
    <t>Variação Emprego Absoluta de 01-03-2018 a 28-02-2019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</si>
  <si>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</si>
  <si>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</si>
  <si>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</si>
  <si>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</si>
  <si>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</si>
  <si>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</si>
  <si>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</si>
  <si>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</si>
  <si>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</si>
  <si>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</si>
  <si>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1. Esta planilha é somente um modelo-base e deve ser ajustada conforme cada caso concreto.</t>
  </si>
  <si>
    <t>2. Preencher somente células em amarelo</t>
  </si>
  <si>
    <t xml:space="preserve">O orçamento deve ser realizado por responsável técnico habilitado e é </t>
  </si>
  <si>
    <t>de responsabilidade do seu autor.</t>
  </si>
  <si>
    <t>5.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</si>
  <si>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</si>
  <si>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</si>
  <si>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</si>
  <si>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</si>
  <si>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</si>
  <si>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</si>
  <si>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</si>
  <si>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</si>
  <si>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</si>
  <si>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</si>
  <si>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</si>
  <si>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</si>
  <si>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</si>
  <si>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</si>
  <si>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</si>
  <si>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</si>
  <si>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PIS/COFINS/ e CPP se houver</t>
  </si>
  <si>
    <t>Fórmula para o cálculo do BDI:</t>
  </si>
  <si>
    <t>{[(1+AC+SRG) x (1+L) x (1+DF)] / (1-T)} -1</t>
  </si>
  <si>
    <t>Resultado do cálculo do BDI:</t>
  </si>
  <si>
    <t>6. Depreciação Referencial TCE/RS (%)</t>
  </si>
  <si>
    <t>Idade do veículo (ano)</t>
  </si>
  <si>
    <t>Depreciação Média</t>
  </si>
  <si>
    <t>Médias de orçamentos fornecidos para formação de preços</t>
  </si>
  <si>
    <t>Extintor 1 kg</t>
  </si>
  <si>
    <t>Vendedor</t>
  </si>
  <si>
    <t>Frete</t>
  </si>
  <si>
    <t>Total</t>
  </si>
  <si>
    <t>Mercado Livre (loja online)*</t>
  </si>
  <si>
    <t>Amazon (loja online)*</t>
  </si>
  <si>
    <t>Média</t>
  </si>
  <si>
    <t>*Orçamento apresenta valor de 2 kg.</t>
  </si>
  <si>
    <t>Extintor 4 kg</t>
  </si>
  <si>
    <t>Diesel S10 valor litro</t>
  </si>
  <si>
    <t>Vacaria São Pedro</t>
  </si>
  <si>
    <t>Posto Glória</t>
  </si>
  <si>
    <t>Andreazza Mega Postos</t>
  </si>
  <si>
    <t>Óleo do motor 15w40 valor litro</t>
  </si>
  <si>
    <t>Pneu 215/75R16</t>
  </si>
  <si>
    <t>Pneus Free.com (loja online)</t>
  </si>
  <si>
    <t>Guaporé Pneus (loja online)</t>
  </si>
  <si>
    <t>Pneu Store (loja online)</t>
  </si>
  <si>
    <t>Pneu 215/75R17,5</t>
  </si>
  <si>
    <t>Pneu Best (loja online)</t>
  </si>
  <si>
    <t>Xbri Pneus (loja online)</t>
  </si>
  <si>
    <t>Pneu 275/80R22,5</t>
  </si>
  <si>
    <t>Carga Pesada Pneus (loja 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</si>
</sst>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* #,##0.00\ ;* \(#,##0.00\);* \-#\ ;@\ "/>
    <numFmt numFmtId="165" formatCode="[$R$-416]\ #,##0.00;[Red]\-[$R$-416]\ #,##0.00"/>
    <numFmt numFmtId="166" formatCode="_ &quot;R$ &quot;* #,##0.00_ ;_ &quot;R$ &quot;* \-#,##0.00_ ;_ &quot;R$ &quot;* \-??_ ;_ @_ "/>
    <numFmt numFmtId="167" formatCode="* #,##0\ ;* \(#,##0\);* \-#\ ;@\ "/>
    <numFmt numFmtId="168" formatCode="* #,##0.0000\ ;* \(#,##0.0000\);* \-#\ ;@\ "/>
    <numFmt numFmtId="169" formatCode="* #,##0.00\ ;\-* #,##0.00\ ;* \-#\ ;@"/>
    <numFmt numFmtId="170" formatCode="_ * #,##0.00_ ;_ * \-#,##0.00_ ;_ * \-??_ ;_ @_ "/>
    <numFmt numFmtId="171" formatCode="* #,##0.000\ ;* \(#,##0.000\);* \-#\ ;@\ "/>
    <numFmt numFmtId="172" formatCode="_ * #,##0_ ;_ * \-#,##0_ ;_ * \-??_ ;_ @_ "/>
    <numFmt numFmtId="173" formatCode="_(* #,##0.00_);_(* \(#,##0.00\);_(* \-??_);_(@_)"/>
    <numFmt numFmtId="174" formatCode="#,##0.0000"/>
    <numFmt numFmtId="175" formatCode="0.0000"/>
  </numFmts>
  <fonts count="24" x14ac:knownFonts="1">
    <font>
      <sz val="10"/>
      <color rgb="FF000000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charset val="1"/>
    </font>
    <font>
      <sz val="11"/>
      <color rgb="FF000000"/>
      <name val="Arial"/>
      <charset val="1"/>
    </font>
    <font>
      <b/>
      <sz val="9"/>
      <color rgb="FF000000"/>
      <name val="Arial"/>
      <charset val="1"/>
    </font>
    <font>
      <b/>
      <u/>
      <sz val="9"/>
      <color rgb="FF000000"/>
      <name val="Arial"/>
      <charset val="1"/>
    </font>
    <font>
      <sz val="8"/>
      <color rgb="FF000000"/>
      <name val="Arial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u/>
      <sz val="10"/>
      <color rgb="FF0000FF"/>
      <name val="Arial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charset val="1"/>
    </font>
    <font>
      <i/>
      <sz val="10"/>
      <color rgb="FF000000"/>
      <name val="Arial"/>
      <charset val="1"/>
    </font>
    <font>
      <sz val="10"/>
      <color rgb="FFFF0000"/>
      <name val="Arial"/>
      <charset val="1"/>
    </font>
    <font>
      <sz val="10"/>
      <name val="Arial"/>
      <family val="2"/>
    </font>
    <font>
      <b/>
      <sz val="12"/>
      <color rgb="FFFF0000"/>
      <name val="Arial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000000"/>
      <name val="Arial"/>
      <family val="2"/>
      <charset val="1"/>
    </font>
    <font>
      <b/>
      <sz val="10"/>
      <color rgb="FFFF0000"/>
      <name val="Arial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C0C0C0"/>
        <bgColor rgb="FFBFBFBF"/>
      </patternFill>
    </fill>
    <fill>
      <patternFill patternType="solid">
        <fgColor rgb="FFC6D9F0"/>
        <bgColor rgb="FFD8D8D8"/>
      </patternFill>
    </fill>
    <fill>
      <patternFill patternType="solid">
        <fgColor theme="0"/>
        <bgColor rgb="FFEEECE1"/>
      </patternFill>
    </fill>
    <fill>
      <patternFill patternType="solid">
        <fgColor rgb="FFFAA61A"/>
        <bgColor rgb="FFFFCC00"/>
      </patternFill>
    </fill>
    <fill>
      <patternFill patternType="solid">
        <fgColor rgb="FFD8D8D8"/>
        <bgColor rgb="FFDDD9C3"/>
      </patternFill>
    </fill>
    <fill>
      <patternFill patternType="solid">
        <fgColor rgb="FFA5A5A5"/>
        <bgColor rgb="FFBFBFBF"/>
      </patternFill>
    </fill>
    <fill>
      <patternFill patternType="solid">
        <fgColor rgb="FFDDD9C3"/>
        <bgColor rgb="FFD8D8D8"/>
      </patternFill>
    </fill>
    <fill>
      <patternFill patternType="solid">
        <fgColor rgb="FFEEECE1"/>
        <bgColor rgb="FFD8D8D8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70" fontId="23" fillId="0" borderId="0" applyBorder="0" applyProtection="0"/>
    <xf numFmtId="166" fontId="23" fillId="0" borderId="0" applyBorder="0" applyProtection="0"/>
    <xf numFmtId="9" fontId="23" fillId="0" borderId="0" applyBorder="0" applyProtection="0"/>
  </cellStyleXfs>
  <cellXfs count="243">
    <xf numFmtId="0" fontId="0" fillId="0" borderId="0" xfId="0"/>
    <xf numFmtId="9" fontId="19" fillId="0" borderId="31" xfId="0" applyNumberFormat="1" applyFont="1" applyBorder="1" applyAlignment="1" applyProtection="1">
      <alignment horizontal="center"/>
    </xf>
    <xf numFmtId="0" fontId="1" fillId="11" borderId="1" xfId="0" applyFont="1" applyFill="1" applyBorder="1" applyAlignment="1" applyProtection="1">
      <alignment horizontal="center" vertical="center"/>
    </xf>
    <xf numFmtId="0" fontId="18" fillId="11" borderId="31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left" wrapText="1"/>
    </xf>
    <xf numFmtId="0" fontId="18" fillId="2" borderId="31" xfId="0" applyFont="1" applyFill="1" applyBorder="1" applyAlignment="1" applyProtection="1">
      <alignment horizontal="center" vertical="center"/>
    </xf>
    <xf numFmtId="0" fontId="0" fillId="7" borderId="22" xfId="0" applyFont="1" applyFill="1" applyBorder="1" applyAlignment="1" applyProtection="1">
      <alignment horizontal="left" vertical="center"/>
    </xf>
    <xf numFmtId="13" fontId="0" fillId="7" borderId="26" xfId="0" applyNumberFormat="1" applyFont="1" applyFill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1" fillId="2" borderId="5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/>
    <xf numFmtId="164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4" fontId="0" fillId="0" borderId="0" xfId="0" applyNumberFormat="1" applyFont="1" applyAlignment="1" applyProtection="1">
      <alignment vertical="center"/>
    </xf>
    <xf numFmtId="164" fontId="0" fillId="0" borderId="4" xfId="0" applyNumberFormat="1" applyFont="1" applyBorder="1" applyAlignment="1" applyProtection="1">
      <alignment vertical="center"/>
    </xf>
    <xf numFmtId="164" fontId="4" fillId="0" borderId="7" xfId="0" applyNumberFormat="1" applyFont="1" applyBorder="1" applyAlignment="1" applyProtection="1">
      <alignment horizontal="right" vertical="center"/>
    </xf>
    <xf numFmtId="164" fontId="0" fillId="0" borderId="8" xfId="0" applyNumberFormat="1" applyFont="1" applyBorder="1" applyAlignment="1" applyProtection="1">
      <alignment vertical="center"/>
    </xf>
    <xf numFmtId="164" fontId="0" fillId="0" borderId="9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1" fontId="0" fillId="0" borderId="10" xfId="0" applyNumberFormat="1" applyFont="1" applyBorder="1" applyAlignment="1" applyProtection="1">
      <alignment horizontal="center" vertical="center"/>
    </xf>
    <xf numFmtId="165" fontId="0" fillId="0" borderId="10" xfId="0" applyNumberFormat="1" applyFont="1" applyBorder="1" applyAlignment="1" applyProtection="1">
      <alignment horizontal="center" vertical="center"/>
    </xf>
    <xf numFmtId="10" fontId="0" fillId="0" borderId="10" xfId="0" applyNumberFormat="1" applyFont="1" applyBorder="1" applyAlignment="1" applyProtection="1">
      <alignment horizontal="center" vertical="center"/>
    </xf>
    <xf numFmtId="164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66" fontId="5" fillId="0" borderId="0" xfId="2" applyFont="1" applyBorder="1" applyAlignment="1" applyProtection="1">
      <alignment vertical="center"/>
    </xf>
    <xf numFmtId="164" fontId="4" fillId="0" borderId="11" xfId="0" applyNumberFormat="1" applyFont="1" applyBorder="1" applyAlignment="1" applyProtection="1">
      <alignment vertical="center"/>
    </xf>
    <xf numFmtId="4" fontId="4" fillId="0" borderId="12" xfId="0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1" fontId="4" fillId="0" borderId="13" xfId="0" applyNumberFormat="1" applyFont="1" applyBorder="1" applyAlignment="1" applyProtection="1">
      <alignment horizontal="center" vertical="center"/>
    </xf>
    <xf numFmtId="164" fontId="4" fillId="0" borderId="3" xfId="0" applyNumberFormat="1" applyFont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164" fontId="0" fillId="0" borderId="15" xfId="0" applyNumberFormat="1" applyFont="1" applyBorder="1" applyAlignment="1" applyProtection="1">
      <alignment vertical="center"/>
    </xf>
    <xf numFmtId="164" fontId="0" fillId="0" borderId="16" xfId="0" applyNumberFormat="1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1" fontId="0" fillId="0" borderId="17" xfId="0" applyNumberFormat="1" applyFont="1" applyBorder="1" applyAlignment="1" applyProtection="1">
      <alignment horizontal="center" vertical="center"/>
    </xf>
    <xf numFmtId="1" fontId="0" fillId="3" borderId="17" xfId="0" applyNumberFormat="1" applyFont="1" applyFill="1" applyBorder="1" applyAlignment="1" applyProtection="1">
      <alignment horizontal="center" vertical="center"/>
    </xf>
    <xf numFmtId="166" fontId="0" fillId="0" borderId="0" xfId="2" applyFont="1" applyBorder="1" applyAlignment="1" applyProtection="1">
      <alignment vertical="center"/>
    </xf>
    <xf numFmtId="1" fontId="0" fillId="0" borderId="0" xfId="0" applyNumberFormat="1" applyFont="1" applyAlignment="1" applyProtection="1">
      <alignment horizontal="center" vertical="center"/>
    </xf>
    <xf numFmtId="166" fontId="0" fillId="0" borderId="0" xfId="0" applyNumberFormat="1" applyFont="1" applyAlignment="1" applyProtection="1">
      <alignment vertical="center"/>
    </xf>
    <xf numFmtId="167" fontId="0" fillId="0" borderId="0" xfId="0" applyNumberFormat="1" applyFont="1" applyAlignment="1" applyProtection="1">
      <alignment horizontal="center" vertical="center"/>
    </xf>
    <xf numFmtId="164" fontId="4" fillId="0" borderId="18" xfId="0" applyNumberFormat="1" applyFont="1" applyBorder="1" applyAlignment="1" applyProtection="1">
      <alignment vertical="center"/>
    </xf>
    <xf numFmtId="10" fontId="4" fillId="4" borderId="19" xfId="0" applyNumberFormat="1" applyFont="1" applyFill="1" applyBorder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67" fontId="4" fillId="0" borderId="0" xfId="0" applyNumberFormat="1" applyFont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164" fontId="6" fillId="5" borderId="20" xfId="0" applyNumberFormat="1" applyFont="1" applyFill="1" applyBorder="1" applyAlignment="1" applyProtection="1">
      <alignment horizontal="center" vertical="center"/>
    </xf>
    <xf numFmtId="164" fontId="6" fillId="5" borderId="21" xfId="0" applyNumberFormat="1" applyFont="1" applyFill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164" fontId="0" fillId="0" borderId="23" xfId="0" applyNumberFormat="1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horizontal="center" vertical="center"/>
    </xf>
    <xf numFmtId="2" fontId="0" fillId="4" borderId="23" xfId="0" applyNumberFormat="1" applyFont="1" applyFill="1" applyBorder="1" applyAlignment="1" applyProtection="1">
      <alignment horizontal="center" vertical="center"/>
    </xf>
    <xf numFmtId="1" fontId="0" fillId="4" borderId="23" xfId="0" applyNumberFormat="1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4" fillId="0" borderId="24" xfId="0" applyNumberFormat="1" applyFont="1" applyBorder="1" applyAlignment="1" applyProtection="1">
      <alignment horizontal="center" vertical="center"/>
    </xf>
    <xf numFmtId="10" fontId="0" fillId="6" borderId="23" xfId="3" applyNumberFormat="1" applyFont="1" applyFill="1" applyBorder="1" applyAlignment="1" applyProtection="1">
      <alignment horizontal="center" vertical="center"/>
    </xf>
    <xf numFmtId="0" fontId="0" fillId="4" borderId="23" xfId="0" applyFont="1" applyFill="1" applyBorder="1" applyAlignment="1" applyProtection="1">
      <alignment horizontal="center" vertical="center"/>
    </xf>
    <xf numFmtId="164" fontId="0" fillId="0" borderId="0" xfId="0" applyNumberFormat="1" applyFont="1" applyAlignment="1" applyProtection="1">
      <alignment horizontal="right" vertical="center"/>
    </xf>
    <xf numFmtId="168" fontId="0" fillId="0" borderId="23" xfId="0" applyNumberFormat="1" applyFont="1" applyBorder="1" applyAlignment="1" applyProtection="1">
      <alignment vertical="center"/>
    </xf>
    <xf numFmtId="164" fontId="4" fillId="5" borderId="19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167" fontId="0" fillId="0" borderId="23" xfId="0" applyNumberFormat="1" applyFont="1" applyBorder="1" applyAlignment="1" applyProtection="1">
      <alignment horizontal="center" vertical="center"/>
    </xf>
    <xf numFmtId="164" fontId="0" fillId="4" borderId="0" xfId="0" applyNumberFormat="1" applyFont="1" applyFill="1" applyBorder="1" applyAlignment="1" applyProtection="1">
      <alignment vertical="center"/>
    </xf>
    <xf numFmtId="1" fontId="0" fillId="4" borderId="0" xfId="0" applyNumberFormat="1" applyFont="1" applyFill="1" applyBorder="1" applyAlignment="1" applyProtection="1">
      <alignment vertical="center"/>
    </xf>
    <xf numFmtId="167" fontId="0" fillId="0" borderId="23" xfId="0" applyNumberFormat="1" applyFont="1" applyBorder="1" applyAlignment="1" applyProtection="1">
      <alignment vertical="center"/>
    </xf>
    <xf numFmtId="164" fontId="4" fillId="5" borderId="5" xfId="0" applyNumberFormat="1" applyFont="1" applyFill="1" applyBorder="1" applyAlignment="1" applyProtection="1">
      <alignment vertical="center"/>
    </xf>
    <xf numFmtId="164" fontId="0" fillId="4" borderId="23" xfId="0" applyNumberFormat="1" applyFont="1" applyFill="1" applyBorder="1" applyAlignment="1" applyProtection="1">
      <alignment horizontal="center" vertical="center"/>
    </xf>
    <xf numFmtId="164" fontId="0" fillId="0" borderId="23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5" borderId="20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13" fontId="0" fillId="4" borderId="23" xfId="0" applyNumberFormat="1" applyFont="1" applyFill="1" applyBorder="1" applyAlignment="1" applyProtection="1">
      <alignment vertical="center"/>
    </xf>
    <xf numFmtId="164" fontId="0" fillId="4" borderId="23" xfId="0" applyNumberFormat="1" applyFont="1" applyFill="1" applyBorder="1" applyAlignment="1" applyProtection="1"/>
    <xf numFmtId="0" fontId="10" fillId="0" borderId="23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horizontal="center" vertical="center"/>
    </xf>
    <xf numFmtId="1" fontId="0" fillId="0" borderId="23" xfId="0" applyNumberFormat="1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164" fontId="4" fillId="0" borderId="28" xfId="0" applyNumberFormat="1" applyFont="1" applyBorder="1" applyAlignment="1" applyProtection="1">
      <alignment vertical="center"/>
    </xf>
    <xf numFmtId="164" fontId="4" fillId="0" borderId="19" xfId="0" applyNumberFormat="1" applyFont="1" applyBorder="1" applyAlignment="1" applyProtection="1">
      <alignment vertical="center"/>
    </xf>
    <xf numFmtId="164" fontId="4" fillId="5" borderId="5" xfId="0" applyNumberFormat="1" applyFont="1" applyFill="1" applyBorder="1" applyAlignment="1" applyProtection="1">
      <alignment horizontal="center" vertical="center"/>
    </xf>
    <xf numFmtId="164" fontId="4" fillId="8" borderId="5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0" fillId="4" borderId="22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Alignment="1" applyProtection="1">
      <alignment horizontal="center" vertical="center"/>
    </xf>
    <xf numFmtId="164" fontId="0" fillId="6" borderId="23" xfId="0" applyNumberFormat="1" applyFont="1" applyFill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/>
    </xf>
    <xf numFmtId="164" fontId="4" fillId="0" borderId="29" xfId="0" applyNumberFormat="1" applyFont="1" applyBorder="1" applyAlignment="1" applyProtection="1">
      <alignment horizontal="center" vertical="center"/>
    </xf>
    <xf numFmtId="164" fontId="0" fillId="6" borderId="23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</xf>
    <xf numFmtId="169" fontId="0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3" fontId="0" fillId="0" borderId="0" xfId="0" applyNumberFormat="1" applyFont="1" applyAlignment="1" applyProtection="1">
      <alignment vertical="center"/>
    </xf>
    <xf numFmtId="4" fontId="0" fillId="4" borderId="22" xfId="0" applyNumberFormat="1" applyFont="1" applyFill="1" applyBorder="1" applyAlignment="1" applyProtection="1">
      <alignment horizontal="center" vertical="center"/>
    </xf>
    <xf numFmtId="170" fontId="0" fillId="4" borderId="22" xfId="1" applyFont="1" applyFill="1" applyBorder="1" applyAlignment="1" applyProtection="1">
      <alignment horizontal="center" vertical="center"/>
    </xf>
    <xf numFmtId="170" fontId="0" fillId="0" borderId="23" xfId="1" applyFont="1" applyBorder="1" applyAlignment="1" applyProtection="1">
      <alignment horizontal="center" vertical="center"/>
    </xf>
    <xf numFmtId="171" fontId="0" fillId="0" borderId="23" xfId="0" applyNumberFormat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vertical="center"/>
    </xf>
    <xf numFmtId="167" fontId="4" fillId="0" borderId="23" xfId="0" applyNumberFormat="1" applyFont="1" applyBorder="1" applyAlignment="1" applyProtection="1">
      <alignment horizontal="center" vertical="center"/>
    </xf>
    <xf numFmtId="171" fontId="4" fillId="0" borderId="23" xfId="0" applyNumberFormat="1" applyFont="1" applyBorder="1" applyAlignment="1" applyProtection="1">
      <alignment horizontal="center" vertical="center"/>
    </xf>
    <xf numFmtId="172" fontId="0" fillId="7" borderId="22" xfId="1" applyNumberFormat="1" applyFont="1" applyFill="1" applyBorder="1" applyAlignment="1" applyProtection="1">
      <alignment horizontal="center" vertical="center"/>
    </xf>
    <xf numFmtId="173" fontId="0" fillId="7" borderId="23" xfId="0" applyNumberFormat="1" applyFont="1" applyFill="1" applyBorder="1" applyAlignment="1" applyProtection="1">
      <alignment horizontal="center" vertical="center"/>
    </xf>
    <xf numFmtId="173" fontId="0" fillId="7" borderId="22" xfId="0" applyNumberFormat="1" applyFont="1" applyFill="1" applyBorder="1" applyAlignment="1" applyProtection="1">
      <alignment horizontal="center" vertical="center"/>
    </xf>
    <xf numFmtId="0" fontId="10" fillId="7" borderId="22" xfId="0" applyFont="1" applyFill="1" applyBorder="1" applyAlignment="1" applyProtection="1">
      <alignment horizontal="center" vertical="center"/>
    </xf>
    <xf numFmtId="172" fontId="0" fillId="7" borderId="23" xfId="1" applyNumberFormat="1" applyFont="1" applyFill="1" applyBorder="1" applyAlignment="1" applyProtection="1">
      <alignment horizontal="center" vertical="center"/>
    </xf>
    <xf numFmtId="173" fontId="10" fillId="7" borderId="22" xfId="0" applyNumberFormat="1" applyFont="1" applyFill="1" applyBorder="1" applyAlignment="1" applyProtection="1">
      <alignment horizontal="center" vertical="center"/>
    </xf>
    <xf numFmtId="174" fontId="0" fillId="0" borderId="0" xfId="0" applyNumberFormat="1" applyFont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/>
    </xf>
    <xf numFmtId="164" fontId="14" fillId="0" borderId="23" xfId="0" applyNumberFormat="1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vertical="center"/>
    </xf>
    <xf numFmtId="164" fontId="0" fillId="0" borderId="28" xfId="0" applyNumberFormat="1" applyFont="1" applyBorder="1" applyAlignment="1" applyProtection="1">
      <alignment vertical="center"/>
    </xf>
    <xf numFmtId="164" fontId="0" fillId="0" borderId="19" xfId="0" applyNumberFormat="1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/>
    </xf>
    <xf numFmtId="10" fontId="12" fillId="0" borderId="28" xfId="3" applyNumberFormat="1" applyFont="1" applyBorder="1" applyAlignment="1" applyProtection="1">
      <alignment vertical="center"/>
    </xf>
    <xf numFmtId="164" fontId="15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70" fontId="0" fillId="0" borderId="0" xfId="0" applyNumberFormat="1" applyFont="1" applyAlignment="1" applyProtection="1">
      <alignment vertical="center"/>
    </xf>
    <xf numFmtId="164" fontId="4" fillId="8" borderId="5" xfId="0" applyNumberFormat="1" applyFont="1" applyFill="1" applyBorder="1" applyAlignment="1" applyProtection="1">
      <alignment horizontal="right" vertical="center"/>
    </xf>
    <xf numFmtId="10" fontId="4" fillId="3" borderId="30" xfId="0" applyNumberFormat="1" applyFont="1" applyFill="1" applyBorder="1" applyAlignment="1" applyProtection="1">
      <alignment horizontal="right" vertical="center"/>
    </xf>
    <xf numFmtId="164" fontId="4" fillId="5" borderId="5" xfId="0" applyNumberFormat="1" applyFont="1" applyFill="1" applyBorder="1" applyAlignment="1" applyProtection="1">
      <alignment horizontal="right" vertical="center"/>
    </xf>
    <xf numFmtId="164" fontId="4" fillId="0" borderId="5" xfId="0" applyNumberFormat="1" applyFont="1" applyBorder="1" applyAlignment="1" applyProtection="1">
      <alignment horizontal="right" vertical="center"/>
    </xf>
    <xf numFmtId="0" fontId="0" fillId="0" borderId="0" xfId="0" applyFont="1" applyAlignment="1" applyProtection="1"/>
    <xf numFmtId="4" fontId="17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5" fillId="0" borderId="32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0" fontId="5" fillId="0" borderId="10" xfId="0" applyNumberFormat="1" applyFont="1" applyBorder="1" applyAlignment="1" applyProtection="1">
      <alignment horizontal="right" vertical="center"/>
    </xf>
    <xf numFmtId="0" fontId="19" fillId="0" borderId="23" xfId="0" applyFont="1" applyBorder="1" applyAlignment="1" applyProtection="1">
      <alignment horizontal="left" vertical="center"/>
    </xf>
    <xf numFmtId="10" fontId="19" fillId="0" borderId="10" xfId="0" applyNumberFormat="1" applyFont="1" applyBorder="1" applyAlignment="1" applyProtection="1">
      <alignment horizontal="right" vertical="center"/>
    </xf>
    <xf numFmtId="0" fontId="5" fillId="9" borderId="32" xfId="0" applyFont="1" applyFill="1" applyBorder="1" applyAlignment="1" applyProtection="1">
      <alignment horizontal="left" vertical="center"/>
    </xf>
    <xf numFmtId="0" fontId="19" fillId="9" borderId="23" xfId="0" applyFont="1" applyFill="1" applyBorder="1" applyAlignment="1" applyProtection="1">
      <alignment horizontal="left" vertical="center"/>
    </xf>
    <xf numFmtId="10" fontId="19" fillId="9" borderId="10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/>
    </xf>
    <xf numFmtId="10" fontId="0" fillId="0" borderId="0" xfId="0" applyNumberFormat="1" applyFont="1" applyAlignment="1" applyProtection="1"/>
    <xf numFmtId="9" fontId="5" fillId="0" borderId="0" xfId="0" applyNumberFormat="1" applyFont="1" applyAlignment="1" applyProtection="1">
      <alignment horizontal="right" vertical="center"/>
    </xf>
    <xf numFmtId="10" fontId="20" fillId="0" borderId="10" xfId="0" applyNumberFormat="1" applyFont="1" applyBorder="1" applyAlignment="1" applyProtection="1">
      <alignment horizontal="right" vertical="center"/>
    </xf>
    <xf numFmtId="0" fontId="5" fillId="0" borderId="23" xfId="0" applyFont="1" applyBorder="1" applyAlignment="1" applyProtection="1">
      <alignment horizontal="left" vertical="center" wrapText="1"/>
    </xf>
    <xf numFmtId="0" fontId="5" fillId="10" borderId="33" xfId="0" applyFont="1" applyFill="1" applyBorder="1" applyAlignment="1" applyProtection="1">
      <alignment horizontal="left" vertical="center"/>
    </xf>
    <xf numFmtId="0" fontId="19" fillId="10" borderId="34" xfId="0" applyFont="1" applyFill="1" applyBorder="1" applyAlignment="1" applyProtection="1">
      <alignment horizontal="left" vertical="center"/>
    </xf>
    <xf numFmtId="10" fontId="19" fillId="10" borderId="17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10" fontId="19" fillId="0" borderId="0" xfId="0" applyNumberFormat="1" applyFont="1" applyAlignment="1" applyProtection="1">
      <alignment horizontal="right" vertical="center"/>
    </xf>
    <xf numFmtId="0" fontId="0" fillId="7" borderId="0" xfId="0" applyFont="1" applyFill="1" applyBorder="1" applyAlignment="1" applyProtection="1">
      <alignment horizontal="left" vertical="center"/>
    </xf>
    <xf numFmtId="10" fontId="5" fillId="0" borderId="0" xfId="0" applyNumberFormat="1" applyFont="1" applyAlignment="1" applyProtection="1">
      <alignment horizontal="right" vertical="center"/>
    </xf>
    <xf numFmtId="0" fontId="5" fillId="7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/>
    <xf numFmtId="0" fontId="21" fillId="0" borderId="0" xfId="0" applyFont="1" applyAlignment="1" applyProtection="1"/>
    <xf numFmtId="0" fontId="19" fillId="0" borderId="8" xfId="0" applyFont="1" applyBorder="1" applyAlignment="1" applyProtection="1"/>
    <xf numFmtId="0" fontId="5" fillId="0" borderId="35" xfId="0" applyFont="1" applyBorder="1" applyAlignment="1" applyProtection="1"/>
    <xf numFmtId="0" fontId="19" fillId="0" borderId="36" xfId="0" applyFont="1" applyBorder="1" applyAlignment="1" applyProtection="1"/>
    <xf numFmtId="0" fontId="19" fillId="4" borderId="10" xfId="0" applyFont="1" applyFill="1" applyBorder="1" applyAlignment="1" applyProtection="1"/>
    <xf numFmtId="0" fontId="19" fillId="0" borderId="32" xfId="0" applyFont="1" applyBorder="1" applyAlignment="1" applyProtection="1"/>
    <xf numFmtId="0" fontId="5" fillId="0" borderId="32" xfId="0" applyFont="1" applyBorder="1" applyAlignment="1" applyProtection="1"/>
    <xf numFmtId="0" fontId="5" fillId="4" borderId="10" xfId="0" applyFont="1" applyFill="1" applyBorder="1" applyAlignment="1" applyProtection="1"/>
    <xf numFmtId="0" fontId="5" fillId="0" borderId="36" xfId="0" applyFont="1" applyBorder="1" applyAlignment="1" applyProtection="1"/>
    <xf numFmtId="0" fontId="5" fillId="4" borderId="37" xfId="0" applyFont="1" applyFill="1" applyBorder="1" applyAlignment="1" applyProtection="1"/>
    <xf numFmtId="0" fontId="5" fillId="0" borderId="38" xfId="0" applyFont="1" applyBorder="1" applyAlignment="1" applyProtection="1"/>
    <xf numFmtId="0" fontId="5" fillId="0" borderId="39" xfId="0" applyFont="1" applyBorder="1" applyAlignment="1" applyProtection="1"/>
    <xf numFmtId="0" fontId="5" fillId="4" borderId="40" xfId="0" applyFont="1" applyFill="1" applyBorder="1" applyAlignment="1" applyProtection="1"/>
    <xf numFmtId="0" fontId="5" fillId="0" borderId="10" xfId="0" applyFont="1" applyBorder="1" applyAlignment="1" applyProtection="1"/>
    <xf numFmtId="0" fontId="5" fillId="0" borderId="3" xfId="0" applyFont="1" applyBorder="1" applyAlignment="1" applyProtection="1"/>
    <xf numFmtId="0" fontId="5" fillId="0" borderId="4" xfId="0" applyFont="1" applyBorder="1" applyAlignment="1" applyProtection="1"/>
    <xf numFmtId="0" fontId="19" fillId="0" borderId="37" xfId="0" applyFont="1" applyBorder="1" applyAlignment="1" applyProtection="1"/>
    <xf numFmtId="10" fontId="19" fillId="0" borderId="10" xfId="0" applyNumberFormat="1" applyFont="1" applyBorder="1" applyAlignment="1" applyProtection="1"/>
    <xf numFmtId="175" fontId="19" fillId="0" borderId="10" xfId="0" applyNumberFormat="1" applyFont="1" applyBorder="1" applyAlignment="1" applyProtection="1"/>
    <xf numFmtId="0" fontId="19" fillId="0" borderId="10" xfId="0" applyFont="1" applyBorder="1" applyAlignment="1" applyProtection="1"/>
    <xf numFmtId="9" fontId="19" fillId="0" borderId="10" xfId="0" applyNumberFormat="1" applyFont="1" applyBorder="1" applyAlignment="1" applyProtection="1"/>
    <xf numFmtId="0" fontId="19" fillId="0" borderId="11" xfId="0" applyFont="1" applyBorder="1" applyAlignment="1" applyProtection="1"/>
    <xf numFmtId="9" fontId="19" fillId="0" borderId="13" xfId="0" applyNumberFormat="1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left" vertical="center"/>
    </xf>
    <xf numFmtId="9" fontId="5" fillId="0" borderId="32" xfId="0" applyNumberFormat="1" applyFont="1" applyBorder="1" applyAlignment="1" applyProtection="1"/>
    <xf numFmtId="9" fontId="5" fillId="0" borderId="23" xfId="0" applyNumberFormat="1" applyFont="1" applyBorder="1" applyAlignment="1" applyProtection="1">
      <alignment horizontal="center"/>
    </xf>
    <xf numFmtId="9" fontId="5" fillId="0" borderId="10" xfId="0" applyNumberFormat="1" applyFont="1" applyBorder="1" applyAlignment="1" applyProtection="1"/>
    <xf numFmtId="0" fontId="5" fillId="0" borderId="41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center" vertical="center"/>
    </xf>
    <xf numFmtId="10" fontId="5" fillId="4" borderId="42" xfId="0" applyNumberFormat="1" applyFont="1" applyFill="1" applyBorder="1" applyAlignment="1" applyProtection="1">
      <alignment horizontal="center" vertical="center"/>
    </xf>
    <xf numFmtId="10" fontId="5" fillId="0" borderId="32" xfId="0" applyNumberFormat="1" applyFont="1" applyBorder="1" applyAlignment="1" applyProtection="1">
      <alignment horizontal="right"/>
    </xf>
    <xf numFmtId="10" fontId="5" fillId="0" borderId="23" xfId="0" applyNumberFormat="1" applyFont="1" applyBorder="1" applyAlignment="1" applyProtection="1">
      <alignment horizontal="right"/>
    </xf>
    <xf numFmtId="10" fontId="5" fillId="0" borderId="10" xfId="0" applyNumberFormat="1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center" vertical="center"/>
    </xf>
    <xf numFmtId="10" fontId="5" fillId="4" borderId="10" xfId="0" applyNumberFormat="1" applyFont="1" applyFill="1" applyBorder="1" applyAlignment="1" applyProtection="1">
      <alignment horizontal="center" vertical="center"/>
    </xf>
    <xf numFmtId="10" fontId="5" fillId="0" borderId="10" xfId="0" applyNumberFormat="1" applyFont="1" applyBorder="1" applyAlignment="1" applyProtection="1">
      <alignment horizontal="center" vertical="center"/>
    </xf>
    <xf numFmtId="10" fontId="5" fillId="4" borderId="23" xfId="0" applyNumberFormat="1" applyFont="1" applyFill="1" applyBorder="1" applyAlignment="1" applyProtection="1">
      <alignment horizontal="center"/>
    </xf>
    <xf numFmtId="10" fontId="5" fillId="0" borderId="10" xfId="0" applyNumberFormat="1" applyFont="1" applyBorder="1" applyAlignment="1" applyProtection="1"/>
    <xf numFmtId="0" fontId="5" fillId="0" borderId="32" xfId="0" applyFont="1" applyBorder="1" applyAlignment="1" applyProtection="1">
      <alignment horizontal="right"/>
    </xf>
    <xf numFmtId="0" fontId="5" fillId="4" borderId="23" xfId="0" applyFont="1" applyFill="1" applyBorder="1" applyAlignment="1" applyProtection="1">
      <alignment horizontal="center"/>
    </xf>
    <xf numFmtId="0" fontId="5" fillId="0" borderId="33" xfId="0" applyFont="1" applyBorder="1" applyAlignment="1" applyProtection="1">
      <alignment horizontal="left" vertical="center"/>
    </xf>
    <xf numFmtId="10" fontId="5" fillId="4" borderId="17" xfId="0" applyNumberFormat="1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/>
    </xf>
    <xf numFmtId="0" fontId="5" fillId="0" borderId="43" xfId="0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10" fontId="5" fillId="0" borderId="45" xfId="0" applyNumberFormat="1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vertical="center"/>
    </xf>
    <xf numFmtId="0" fontId="19" fillId="9" borderId="18" xfId="0" applyFont="1" applyFill="1" applyBorder="1" applyAlignment="1" applyProtection="1">
      <alignment vertical="center" wrapText="1"/>
    </xf>
    <xf numFmtId="0" fontId="5" fillId="9" borderId="28" xfId="0" applyFont="1" applyFill="1" applyBorder="1" applyAlignment="1" applyProtection="1">
      <alignment vertical="center"/>
    </xf>
    <xf numFmtId="10" fontId="19" fillId="9" borderId="19" xfId="0" applyNumberFormat="1" applyFont="1" applyFill="1" applyBorder="1" applyAlignment="1" applyProtection="1">
      <alignment horizontal="center" vertical="center" wrapText="1"/>
    </xf>
    <xf numFmtId="10" fontId="5" fillId="0" borderId="33" xfId="0" applyNumberFormat="1" applyFont="1" applyBorder="1" applyAlignment="1" applyProtection="1">
      <alignment horizontal="right"/>
    </xf>
    <xf numFmtId="10" fontId="5" fillId="0" borderId="34" xfId="0" applyNumberFormat="1" applyFont="1" applyBorder="1" applyAlignment="1" applyProtection="1">
      <alignment horizontal="right"/>
    </xf>
    <xf numFmtId="10" fontId="5" fillId="0" borderId="17" xfId="0" applyNumberFormat="1" applyFont="1" applyBorder="1" applyAlignment="1" applyProtection="1">
      <alignment horizontal="right"/>
    </xf>
    <xf numFmtId="0" fontId="19" fillId="0" borderId="32" xfId="0" applyFont="1" applyBorder="1" applyAlignment="1" applyProtection="1">
      <alignment horizontal="center" vertical="center"/>
    </xf>
    <xf numFmtId="0" fontId="19" fillId="12" borderId="23" xfId="0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2" fontId="5" fillId="12" borderId="23" xfId="0" applyNumberFormat="1" applyFont="1" applyFill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center" vertical="center"/>
    </xf>
    <xf numFmtId="2" fontId="5" fillId="12" borderId="34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Alignment="1" applyProtection="1"/>
    <xf numFmtId="0" fontId="12" fillId="0" borderId="0" xfId="0" applyFont="1" applyAlignment="1" applyProtection="1"/>
    <xf numFmtId="0" fontId="9" fillId="0" borderId="0" xfId="0" applyFont="1" applyAlignment="1" applyProtection="1"/>
    <xf numFmtId="166" fontId="0" fillId="0" borderId="0" xfId="2" applyFont="1" applyBorder="1" applyAlignment="1" applyProtection="1"/>
    <xf numFmtId="166" fontId="12" fillId="0" borderId="0" xfId="2" applyFont="1" applyBorder="1" applyAlignment="1" applyProtection="1"/>
    <xf numFmtId="0" fontId="12" fillId="0" borderId="0" xfId="0" applyFont="1" applyAlignment="1" applyProtection="1">
      <alignment horizontal="center"/>
    </xf>
    <xf numFmtId="0" fontId="5" fillId="0" borderId="34" xfId="0" applyFont="1" applyBorder="1" applyAlignment="1" applyProtection="1">
      <alignment horizontal="center" vertical="center"/>
    </xf>
    <xf numFmtId="0" fontId="1" fillId="11" borderId="18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0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8D8D8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AA61A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203"/>
  <sheetViews>
    <sheetView tabSelected="1" zoomScale="95" zoomScaleNormal="95" workbookViewId="0">
      <selection activeCell="E18" sqref="E18"/>
    </sheetView>
  </sheetViews>
  <sheetFormatPr defaultColWidth="11.5703125" defaultRowHeight="12.75" customHeight="1" x14ac:dyDescent="0.2"/>
  <cols>
    <col min="1" max="1" width="44.42578125" style="15" customWidth="1"/>
    <col min="2" max="2" width="16" style="15" customWidth="1"/>
    <col min="3" max="3" width="11.85546875" style="15" customWidth="1"/>
    <col min="4" max="4" width="14.5703125" style="15" customWidth="1"/>
    <col min="5" max="5" width="15.42578125" style="15" customWidth="1"/>
    <col min="6" max="6" width="13.42578125" style="15" customWidth="1"/>
    <col min="7" max="7" width="28.140625" style="15" customWidth="1"/>
    <col min="8" max="8" width="9.140625" style="15" customWidth="1"/>
    <col min="9" max="9" width="14.42578125" style="15" customWidth="1"/>
    <col min="10" max="10" width="13.42578125" style="15" customWidth="1"/>
    <col min="11" max="11" width="16.5703125" style="15" customWidth="1"/>
    <col min="12" max="26" width="9.140625" style="15" customWidth="1"/>
    <col min="27" max="64" width="12.7109375" style="15" customWidth="1"/>
  </cols>
  <sheetData>
    <row r="1" spans="1:26" ht="17.25" customHeight="1" x14ac:dyDescent="0.2">
      <c r="A1" s="14" t="s">
        <v>0</v>
      </c>
      <c r="B1" s="14"/>
      <c r="C1" s="14"/>
      <c r="D1" s="14"/>
      <c r="E1" s="14"/>
      <c r="F1" s="14"/>
      <c r="G1" s="1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 x14ac:dyDescent="0.2">
      <c r="A2" s="18"/>
      <c r="B2" s="17"/>
      <c r="C2" s="17"/>
      <c r="D2" s="16"/>
      <c r="E2" s="16"/>
      <c r="F2" s="16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1" customHeight="1" x14ac:dyDescent="0.2">
      <c r="A3" s="13" t="s">
        <v>1</v>
      </c>
      <c r="B3" s="13"/>
      <c r="C3" s="13"/>
      <c r="D3" s="13"/>
      <c r="E3" s="13"/>
      <c r="F3" s="13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" x14ac:dyDescent="0.2">
      <c r="A4" s="12" t="s">
        <v>2</v>
      </c>
      <c r="B4" s="12"/>
      <c r="C4" s="12"/>
      <c r="D4" s="12"/>
      <c r="E4" s="12"/>
      <c r="F4" s="12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3.5" customHeight="1" x14ac:dyDescent="0.2">
      <c r="A5" s="19"/>
      <c r="B5" s="20"/>
      <c r="C5" s="20"/>
      <c r="D5" s="16"/>
      <c r="E5" s="16"/>
      <c r="F5" s="21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" customHeight="1" x14ac:dyDescent="0.2">
      <c r="A6" s="11" t="s">
        <v>3</v>
      </c>
      <c r="B6" s="11"/>
      <c r="C6" s="11"/>
      <c r="D6" s="11"/>
      <c r="E6" s="11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 x14ac:dyDescent="0.2">
      <c r="A7" s="10" t="s">
        <v>4</v>
      </c>
      <c r="B7" s="10"/>
      <c r="C7" s="10"/>
      <c r="D7" s="10"/>
      <c r="E7" s="22" t="s">
        <v>5</v>
      </c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" customHeight="1" x14ac:dyDescent="0.2">
      <c r="A8" s="23" t="str">
        <f>A25</f>
        <v>1.1. Motorista</v>
      </c>
      <c r="B8" s="24"/>
      <c r="C8" s="24"/>
      <c r="D8" s="25"/>
      <c r="E8" s="26">
        <f>C43</f>
        <v>1</v>
      </c>
      <c r="F8" s="16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6.5" customHeight="1" x14ac:dyDescent="0.2">
      <c r="A9" s="23" t="s">
        <v>6</v>
      </c>
      <c r="B9" s="24"/>
      <c r="C9" s="24"/>
      <c r="D9" s="25"/>
      <c r="E9" s="27">
        <v>3767.43</v>
      </c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 x14ac:dyDescent="0.2">
      <c r="A10" s="23" t="s">
        <v>7</v>
      </c>
      <c r="B10" s="24"/>
      <c r="C10" s="24"/>
      <c r="D10" s="25"/>
      <c r="E10" s="28"/>
      <c r="F10" s="16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21.75" customHeight="1" x14ac:dyDescent="0.2">
      <c r="A11" s="23" t="str">
        <f>A46</f>
        <v>1.2. Monitor</v>
      </c>
      <c r="B11" s="24"/>
      <c r="C11" s="24"/>
      <c r="D11" s="25"/>
      <c r="E11" s="27">
        <v>1789.04</v>
      </c>
      <c r="F11" s="16"/>
      <c r="G11" s="29"/>
      <c r="H11" s="30"/>
      <c r="I11" s="30"/>
      <c r="J11" s="30"/>
      <c r="K11" s="31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x14ac:dyDescent="0.2">
      <c r="A12" s="32" t="s">
        <v>8</v>
      </c>
      <c r="B12" s="33"/>
      <c r="C12" s="33"/>
      <c r="D12" s="34"/>
      <c r="E12" s="35">
        <f>SUM(E8)</f>
        <v>1</v>
      </c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 x14ac:dyDescent="0.2">
      <c r="A13" s="36"/>
      <c r="B13" s="37"/>
      <c r="C13" s="16"/>
      <c r="D13" s="16"/>
      <c r="E13" s="21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" customHeight="1" x14ac:dyDescent="0.2">
      <c r="A14" s="9" t="s">
        <v>9</v>
      </c>
      <c r="B14" s="9"/>
      <c r="C14" s="9"/>
      <c r="D14" s="9"/>
      <c r="E14" s="22" t="s">
        <v>5</v>
      </c>
      <c r="F14" s="17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" customHeight="1" x14ac:dyDescent="0.2">
      <c r="A15" s="38" t="str">
        <f>+A92</f>
        <v>2.1. Veículo</v>
      </c>
      <c r="B15" s="39"/>
      <c r="C15" s="39"/>
      <c r="D15" s="40"/>
      <c r="E15" s="41">
        <f>C107</f>
        <v>1</v>
      </c>
      <c r="F15" s="17"/>
      <c r="G15" s="16"/>
      <c r="H15" s="17"/>
      <c r="I15" s="30"/>
      <c r="J15" s="30"/>
      <c r="K15" s="30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 x14ac:dyDescent="0.2">
      <c r="A16" s="38" t="s">
        <v>10</v>
      </c>
      <c r="B16" s="39"/>
      <c r="C16" s="39"/>
      <c r="D16" s="40"/>
      <c r="E16" s="42">
        <v>19</v>
      </c>
      <c r="F16" s="17"/>
      <c r="G16" s="16"/>
      <c r="H16" s="17"/>
      <c r="I16" s="30"/>
      <c r="J16" s="30"/>
      <c r="K16" s="3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 x14ac:dyDescent="0.2">
      <c r="A17" s="38" t="s">
        <v>11</v>
      </c>
      <c r="B17" s="39"/>
      <c r="C17" s="39"/>
      <c r="D17" s="40"/>
      <c r="E17" s="42">
        <v>71</v>
      </c>
      <c r="F17" s="17"/>
      <c r="G17" s="16"/>
      <c r="H17" s="17"/>
      <c r="I17" s="43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" customHeight="1" x14ac:dyDescent="0.2">
      <c r="A18" s="38" t="s">
        <v>12</v>
      </c>
      <c r="B18" s="39"/>
      <c r="C18" s="39"/>
      <c r="D18" s="40"/>
      <c r="E18" s="42">
        <f>E16*E17</f>
        <v>1349</v>
      </c>
      <c r="F18" s="17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" customHeight="1" x14ac:dyDescent="0.2">
      <c r="A19" s="16"/>
      <c r="B19" s="16"/>
      <c r="C19" s="16"/>
      <c r="D19" s="17"/>
      <c r="E19" s="44"/>
      <c r="F19" s="17"/>
      <c r="G19" s="16"/>
      <c r="H19" s="17"/>
      <c r="I19" s="45"/>
      <c r="J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 x14ac:dyDescent="0.2">
      <c r="A20" s="16"/>
      <c r="B20" s="16"/>
      <c r="C20" s="16"/>
      <c r="D20" s="17"/>
      <c r="E20" s="46"/>
      <c r="F20" s="17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">
      <c r="A21" s="47" t="s">
        <v>13</v>
      </c>
      <c r="B21" s="48">
        <v>1</v>
      </c>
      <c r="C21" s="49"/>
      <c r="D21" s="50"/>
      <c r="E21" s="51"/>
      <c r="F21" s="50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2">
      <c r="A22" s="16"/>
      <c r="B22" s="16"/>
      <c r="C22" s="16"/>
      <c r="D22" s="17"/>
      <c r="E22" s="46"/>
      <c r="F22" s="17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">
      <c r="A23" s="50" t="s">
        <v>14</v>
      </c>
      <c r="B23" s="17"/>
      <c r="C23" s="17"/>
      <c r="D23" s="16"/>
      <c r="E23" s="16"/>
      <c r="F23" s="16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">
      <c r="A24" s="17"/>
      <c r="B24" s="17"/>
      <c r="C24" s="17"/>
      <c r="D24" s="16"/>
      <c r="E24" s="16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">
      <c r="A25" s="17" t="s">
        <v>15</v>
      </c>
      <c r="B25" s="17"/>
      <c r="C25" s="17"/>
      <c r="D25" s="16"/>
      <c r="E25" s="16"/>
      <c r="F25" s="16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" customHeight="1" x14ac:dyDescent="0.2">
      <c r="A26" s="52" t="s">
        <v>16</v>
      </c>
      <c r="B26" s="53" t="s">
        <v>17</v>
      </c>
      <c r="C26" s="53" t="s">
        <v>5</v>
      </c>
      <c r="D26" s="54" t="s">
        <v>18</v>
      </c>
      <c r="E26" s="54" t="s">
        <v>19</v>
      </c>
      <c r="F26" s="55" t="s">
        <v>20</v>
      </c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2">
      <c r="A27" s="56" t="s">
        <v>21</v>
      </c>
      <c r="B27" s="57" t="s">
        <v>22</v>
      </c>
      <c r="C27" s="57">
        <v>1</v>
      </c>
      <c r="D27" s="58">
        <f>ROUND((E9*E10)+E9,2)</f>
        <v>3767.43</v>
      </c>
      <c r="E27" s="58">
        <f>C27*D27</f>
        <v>3767.43</v>
      </c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hidden="1" customHeight="1" x14ac:dyDescent="0.2">
      <c r="A28" s="56" t="s">
        <v>23</v>
      </c>
      <c r="B28" s="57" t="s">
        <v>22</v>
      </c>
      <c r="C28" s="57">
        <v>1</v>
      </c>
      <c r="D28" s="59">
        <v>1100</v>
      </c>
      <c r="E28" s="59"/>
      <c r="F28" s="16"/>
      <c r="G28" s="49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hidden="1" customHeight="1" x14ac:dyDescent="0.2">
      <c r="A29" s="60" t="s">
        <v>24</v>
      </c>
      <c r="B29" s="61" t="s">
        <v>25</v>
      </c>
      <c r="C29" s="62"/>
      <c r="D29" s="60"/>
      <c r="E29" s="60"/>
      <c r="F29" s="16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hidden="1" customHeight="1" x14ac:dyDescent="0.2">
      <c r="A30" s="60"/>
      <c r="B30" s="61" t="s">
        <v>26</v>
      </c>
      <c r="C30" s="59">
        <f>C29*8/7</f>
        <v>0</v>
      </c>
      <c r="D30" s="59">
        <f>D27/220*0.2</f>
        <v>3.4249363636363634</v>
      </c>
      <c r="E30" s="59">
        <f>C29*D30</f>
        <v>0</v>
      </c>
      <c r="F30" s="16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1.25" customHeight="1" x14ac:dyDescent="0.2">
      <c r="A31" s="60" t="s">
        <v>27</v>
      </c>
      <c r="B31" s="61" t="s">
        <v>28</v>
      </c>
      <c r="C31" s="62"/>
      <c r="D31" s="59">
        <v>23.76</v>
      </c>
      <c r="E31" s="59">
        <f>C31*D31</f>
        <v>0</v>
      </c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3.5" hidden="1" customHeight="1" x14ac:dyDescent="0.2">
      <c r="A32" s="60" t="s">
        <v>29</v>
      </c>
      <c r="B32" s="61" t="s">
        <v>25</v>
      </c>
      <c r="C32" s="62"/>
      <c r="D32" s="59"/>
      <c r="E32" s="59"/>
      <c r="F32" s="16"/>
      <c r="G32" s="1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hidden="1" customHeight="1" x14ac:dyDescent="0.2">
      <c r="A33" s="60"/>
      <c r="B33" s="61" t="s">
        <v>26</v>
      </c>
      <c r="C33" s="59">
        <f>C32*8/7</f>
        <v>0</v>
      </c>
      <c r="D33" s="59">
        <f>D27/220*2*1.2</f>
        <v>41.099236363636358</v>
      </c>
      <c r="E33" s="59">
        <f>C33*D33</f>
        <v>0</v>
      </c>
      <c r="F33" s="16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x14ac:dyDescent="0.2">
      <c r="A34" s="60" t="s">
        <v>30</v>
      </c>
      <c r="B34" s="61" t="s">
        <v>28</v>
      </c>
      <c r="C34" s="62"/>
      <c r="D34" s="59">
        <v>17.82</v>
      </c>
      <c r="E34" s="59">
        <f>C34*D34</f>
        <v>0</v>
      </c>
      <c r="F34" s="16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2">
      <c r="A35" s="60" t="s">
        <v>31</v>
      </c>
      <c r="B35" s="61" t="s">
        <v>25</v>
      </c>
      <c r="C35" s="62"/>
      <c r="D35" s="59"/>
      <c r="E35" s="59"/>
      <c r="F35" s="16"/>
      <c r="G35" s="1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hidden="1" customHeight="1" x14ac:dyDescent="0.2">
      <c r="A36" s="60"/>
      <c r="B36" s="61" t="s">
        <v>26</v>
      </c>
      <c r="C36" s="59">
        <f>C35*8/7</f>
        <v>0</v>
      </c>
      <c r="D36" s="59">
        <f>D27/220*1.5*1.2</f>
        <v>30.82442727272727</v>
      </c>
      <c r="E36" s="59">
        <f>C36*D36</f>
        <v>0</v>
      </c>
      <c r="F36" s="16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hidden="1" customHeight="1" x14ac:dyDescent="0.2">
      <c r="A37" s="60" t="s">
        <v>32</v>
      </c>
      <c r="B37" s="61" t="s">
        <v>33</v>
      </c>
      <c r="C37" s="17"/>
      <c r="D37" s="59">
        <f>63/302*(SUM(E31:E36))</f>
        <v>0</v>
      </c>
      <c r="E37" s="59">
        <f>D37</f>
        <v>0</v>
      </c>
      <c r="F37" s="16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hidden="1" customHeight="1" x14ac:dyDescent="0.2">
      <c r="A38" s="60" t="s">
        <v>34</v>
      </c>
      <c r="B38" s="61"/>
      <c r="C38" s="63">
        <v>0</v>
      </c>
      <c r="D38" s="59"/>
      <c r="E38" s="59"/>
      <c r="F38" s="16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hidden="1" customHeight="1" x14ac:dyDescent="0.2">
      <c r="A39" s="60" t="s">
        <v>35</v>
      </c>
      <c r="B39" s="61" t="s">
        <v>36</v>
      </c>
      <c r="C39" s="59">
        <v>0</v>
      </c>
      <c r="D39" s="59">
        <f>IF(C38=2,SUM(E27:E37),IF(C38=1,SUM(E27:E37)*D28/D27,0))</f>
        <v>0</v>
      </c>
      <c r="E39" s="59">
        <f>C39*D39/100</f>
        <v>0</v>
      </c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2">
      <c r="A40" s="64" t="s">
        <v>37</v>
      </c>
      <c r="B40" s="65"/>
      <c r="C40" s="65"/>
      <c r="D40" s="66"/>
      <c r="E40" s="67">
        <f>SUM(E27:E39)</f>
        <v>3767.43</v>
      </c>
      <c r="F40" s="49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2">
      <c r="A41" s="60" t="s">
        <v>38</v>
      </c>
      <c r="B41" s="61" t="s">
        <v>36</v>
      </c>
      <c r="C41" s="68">
        <f>'16.Encargos Sociais'!C38</f>
        <v>0.70599999999999996</v>
      </c>
      <c r="D41" s="59">
        <f>E40</f>
        <v>3767.43</v>
      </c>
      <c r="E41" s="59">
        <f>D41*C41</f>
        <v>2659.8055799999997</v>
      </c>
      <c r="F41" s="16"/>
      <c r="G41" s="16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2">
      <c r="A42" s="64" t="s">
        <v>39</v>
      </c>
      <c r="B42" s="65"/>
      <c r="C42" s="65"/>
      <c r="D42" s="66"/>
      <c r="E42" s="67">
        <f>E40+E41</f>
        <v>6427.2355799999996</v>
      </c>
      <c r="F42" s="49"/>
      <c r="G42" s="1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2">
      <c r="A43" s="60" t="s">
        <v>40</v>
      </c>
      <c r="B43" s="61" t="s">
        <v>41</v>
      </c>
      <c r="C43" s="69">
        <v>1</v>
      </c>
      <c r="D43" s="59">
        <f>E42</f>
        <v>6427.2355799999996</v>
      </c>
      <c r="E43" s="59">
        <f>C43*D43</f>
        <v>6427.2355799999996</v>
      </c>
      <c r="F43" s="16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2">
      <c r="A44" s="17"/>
      <c r="B44" s="17"/>
      <c r="C44" s="17"/>
      <c r="D44" s="70" t="s">
        <v>42</v>
      </c>
      <c r="E44" s="71">
        <v>1</v>
      </c>
      <c r="F44" s="72">
        <f>E43*E44</f>
        <v>6427.2355799999996</v>
      </c>
      <c r="G44" s="16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2">
      <c r="A45" s="17"/>
      <c r="B45" s="17"/>
      <c r="C45" s="17"/>
      <c r="D45" s="70"/>
      <c r="E45" s="16"/>
      <c r="F45" s="16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2">
      <c r="A46" s="17" t="s">
        <v>43</v>
      </c>
      <c r="B46" s="17"/>
      <c r="C46" s="17"/>
      <c r="D46" s="16"/>
      <c r="E46" s="16"/>
      <c r="F46" s="16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">
      <c r="A47" s="52" t="s">
        <v>16</v>
      </c>
      <c r="B47" s="53" t="s">
        <v>17</v>
      </c>
      <c r="C47" s="53" t="s">
        <v>5</v>
      </c>
      <c r="D47" s="54" t="s">
        <v>18</v>
      </c>
      <c r="E47" s="54" t="s">
        <v>19</v>
      </c>
      <c r="F47" s="55" t="s">
        <v>20</v>
      </c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.75" customHeight="1" x14ac:dyDescent="0.2">
      <c r="A48" s="56" t="s">
        <v>21</v>
      </c>
      <c r="B48" s="57" t="s">
        <v>22</v>
      </c>
      <c r="C48" s="57">
        <v>1</v>
      </c>
      <c r="D48" s="58">
        <f>E11</f>
        <v>1789.04</v>
      </c>
      <c r="E48" s="58">
        <f>C48*D48</f>
        <v>1789.04</v>
      </c>
      <c r="F48" s="16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2">
      <c r="A49" s="64" t="s">
        <v>37</v>
      </c>
      <c r="B49" s="65"/>
      <c r="C49" s="65"/>
      <c r="D49" s="66"/>
      <c r="E49" s="67">
        <f>SUM(E48)</f>
        <v>1789.04</v>
      </c>
      <c r="F49" s="49"/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.75" customHeight="1" x14ac:dyDescent="0.2">
      <c r="A50" s="60" t="s">
        <v>38</v>
      </c>
      <c r="B50" s="61" t="s">
        <v>36</v>
      </c>
      <c r="C50" s="68">
        <f>'16.Encargos Sociais'!C38</f>
        <v>0.70599999999999996</v>
      </c>
      <c r="D50" s="59">
        <f>E49</f>
        <v>1789.04</v>
      </c>
      <c r="E50" s="59">
        <f>D50*C50</f>
        <v>1263.06224</v>
      </c>
      <c r="F50" s="16"/>
      <c r="G50" s="16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64" t="s">
        <v>39</v>
      </c>
      <c r="B51" s="65"/>
      <c r="C51" s="65"/>
      <c r="D51" s="66"/>
      <c r="E51" s="67">
        <f>E49+E50</f>
        <v>3052.1022400000002</v>
      </c>
      <c r="F51" s="49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60" t="s">
        <v>40</v>
      </c>
      <c r="B52" s="61" t="s">
        <v>41</v>
      </c>
      <c r="C52" s="69">
        <v>1</v>
      </c>
      <c r="D52" s="59">
        <f>E51</f>
        <v>3052.1022400000002</v>
      </c>
      <c r="E52" s="59">
        <f>C52*D52</f>
        <v>3052.1022400000002</v>
      </c>
      <c r="F52" s="16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">
      <c r="A53" s="17"/>
      <c r="B53" s="17"/>
      <c r="C53" s="17"/>
      <c r="D53" s="70" t="s">
        <v>42</v>
      </c>
      <c r="E53" s="71">
        <v>1</v>
      </c>
      <c r="F53" s="72">
        <f>E52*E53</f>
        <v>3052.1022400000002</v>
      </c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">
      <c r="A54" s="17"/>
      <c r="B54" s="17"/>
      <c r="C54" s="17"/>
      <c r="D54" s="70"/>
      <c r="E54" s="16"/>
      <c r="F54" s="16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">
      <c r="A55" s="17"/>
      <c r="B55" s="17"/>
      <c r="C55" s="17"/>
      <c r="D55" s="16"/>
      <c r="E55" s="16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">
      <c r="A56" s="17" t="s">
        <v>44</v>
      </c>
      <c r="B56" s="73"/>
      <c r="C56" s="17"/>
      <c r="D56" s="17"/>
      <c r="E56" s="16"/>
      <c r="F56" s="16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">
      <c r="A57" s="52" t="s">
        <v>16</v>
      </c>
      <c r="B57" s="53" t="s">
        <v>17</v>
      </c>
      <c r="C57" s="53" t="s">
        <v>5</v>
      </c>
      <c r="D57" s="54" t="s">
        <v>18</v>
      </c>
      <c r="E57" s="54" t="s">
        <v>19</v>
      </c>
      <c r="F57" s="55" t="s">
        <v>20</v>
      </c>
      <c r="G57" s="16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">
      <c r="A58" s="60" t="s">
        <v>45</v>
      </c>
      <c r="B58" s="61" t="s">
        <v>33</v>
      </c>
      <c r="C58" s="74">
        <v>0</v>
      </c>
      <c r="D58" s="75">
        <v>0</v>
      </c>
      <c r="E58" s="59"/>
      <c r="F58" s="16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60" t="s">
        <v>46</v>
      </c>
      <c r="B59" s="61" t="s">
        <v>47</v>
      </c>
      <c r="C59" s="76">
        <v>0</v>
      </c>
      <c r="D59" s="59"/>
      <c r="E59" s="59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60" t="s">
        <v>48</v>
      </c>
      <c r="B60" s="61" t="s">
        <v>49</v>
      </c>
      <c r="C60" s="77" t="e">
        <f>$C$59*2*(#REF!)</f>
        <v>#REF!</v>
      </c>
      <c r="D60" s="58" t="str">
        <f>IFERROR((($C$59*2*$D$58)-(#REF!*0.06*C59/26))/($C$59*2),"-")</f>
        <v>-</v>
      </c>
      <c r="E60" s="59" t="str">
        <f>IFERROR(C60*D60,"-")</f>
        <v>-</v>
      </c>
      <c r="F60" s="16"/>
      <c r="G60" s="1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60" t="s">
        <v>50</v>
      </c>
      <c r="B61" s="57" t="s">
        <v>49</v>
      </c>
      <c r="C61" s="77">
        <f>$C$59*C58*(C43)</f>
        <v>0</v>
      </c>
      <c r="D61" s="58"/>
      <c r="E61" s="58">
        <f>C61*D58</f>
        <v>0</v>
      </c>
      <c r="F61" s="16"/>
      <c r="G61" s="16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1.25" customHeight="1" x14ac:dyDescent="0.2">
      <c r="A62" s="17"/>
      <c r="B62" s="17"/>
      <c r="C62" s="17"/>
      <c r="D62" s="16"/>
      <c r="E62" s="16" t="s">
        <v>48</v>
      </c>
      <c r="F62" s="78"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17"/>
      <c r="B63" s="17"/>
      <c r="C63" s="17"/>
      <c r="D63" s="16"/>
      <c r="E63" s="16" t="s">
        <v>50</v>
      </c>
      <c r="F63" s="78">
        <v>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">
      <c r="A64" s="17"/>
      <c r="B64" s="17"/>
      <c r="C64" s="17"/>
      <c r="D64" s="16"/>
      <c r="E64" s="16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3.5" customHeight="1" x14ac:dyDescent="0.2">
      <c r="A65" s="17" t="s">
        <v>51</v>
      </c>
      <c r="B65" s="17"/>
      <c r="C65" s="17"/>
      <c r="D65" s="16"/>
      <c r="E65" s="16"/>
      <c r="F65" s="49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">
      <c r="A66" s="52" t="s">
        <v>16</v>
      </c>
      <c r="B66" s="53" t="s">
        <v>17</v>
      </c>
      <c r="C66" s="53" t="s">
        <v>5</v>
      </c>
      <c r="D66" s="54" t="s">
        <v>18</v>
      </c>
      <c r="E66" s="54" t="s">
        <v>19</v>
      </c>
      <c r="F66" s="55" t="s">
        <v>20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A67" s="60" t="s">
        <v>48</v>
      </c>
      <c r="B67" s="61" t="s">
        <v>52</v>
      </c>
      <c r="C67" s="77">
        <v>19</v>
      </c>
      <c r="D67" s="79">
        <v>37</v>
      </c>
      <c r="E67" s="80">
        <f>C67*D67</f>
        <v>703</v>
      </c>
      <c r="F67" s="49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A68" s="60" t="s">
        <v>50</v>
      </c>
      <c r="B68" s="61" t="s">
        <v>52</v>
      </c>
      <c r="C68" s="77">
        <v>19</v>
      </c>
      <c r="D68" s="79">
        <v>37</v>
      </c>
      <c r="E68" s="80">
        <f>C68*D68</f>
        <v>703</v>
      </c>
      <c r="F68" s="49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A69" s="60" t="s">
        <v>53</v>
      </c>
      <c r="B69" s="61" t="s">
        <v>52</v>
      </c>
      <c r="C69" s="77">
        <v>0</v>
      </c>
      <c r="D69" s="79">
        <v>0</v>
      </c>
      <c r="E69" s="80">
        <f>-SUM(E67:E68)*5.07%</f>
        <v>-71.284199999999998</v>
      </c>
      <c r="F69" s="49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6.5" customHeight="1" x14ac:dyDescent="0.2">
      <c r="A70" s="81" t="s">
        <v>54</v>
      </c>
      <c r="B70" s="17"/>
      <c r="C70" s="17"/>
      <c r="D70" s="16"/>
      <c r="E70" s="16"/>
      <c r="F70" s="78">
        <f>SUM(E67:E69)</f>
        <v>1334.7157999999999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1.25" customHeight="1" x14ac:dyDescent="0.2">
      <c r="A71" s="17"/>
      <c r="B71" s="17"/>
      <c r="C71" s="17"/>
      <c r="D71" s="16"/>
      <c r="E71" s="16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">
      <c r="A72" s="17"/>
      <c r="B72" s="17"/>
      <c r="C72" s="17"/>
      <c r="D72" s="16"/>
      <c r="E72" s="16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">
      <c r="A73" s="17" t="s">
        <v>55</v>
      </c>
      <c r="B73" s="17"/>
      <c r="C73" s="17"/>
      <c r="D73" s="16"/>
      <c r="E73" s="16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4.75" customHeight="1" x14ac:dyDescent="0.2">
      <c r="A74" s="52" t="s">
        <v>16</v>
      </c>
      <c r="B74" s="53" t="s">
        <v>17</v>
      </c>
      <c r="C74" s="82" t="s">
        <v>56</v>
      </c>
      <c r="D74" s="54" t="s">
        <v>18</v>
      </c>
      <c r="E74" s="54" t="s">
        <v>19</v>
      </c>
      <c r="F74" s="55" t="s">
        <v>20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">
      <c r="A75" s="8" t="s">
        <v>57</v>
      </c>
      <c r="B75" s="8"/>
      <c r="C75" s="7">
        <v>1</v>
      </c>
      <c r="D75" s="7"/>
      <c r="E75" s="58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">
      <c r="A76" s="83" t="s">
        <v>58</v>
      </c>
      <c r="B76" s="61" t="s">
        <v>52</v>
      </c>
      <c r="C76" s="84">
        <v>12</v>
      </c>
      <c r="D76" s="85">
        <f>C75*Médias!D16</f>
        <v>487.79999999999995</v>
      </c>
      <c r="E76" s="58">
        <f>IFERROR(D76/C76,0)</f>
        <v>40.65</v>
      </c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">
      <c r="A77" s="60" t="s">
        <v>59</v>
      </c>
      <c r="B77" s="61" t="s">
        <v>52</v>
      </c>
      <c r="C77" s="84">
        <v>10</v>
      </c>
      <c r="D77" s="85">
        <v>260</v>
      </c>
      <c r="E77" s="58">
        <f>IFERROR(D77/C77,0)</f>
        <v>26</v>
      </c>
      <c r="F77" s="16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">
      <c r="A78" s="86" t="s">
        <v>60</v>
      </c>
      <c r="B78" s="87" t="s">
        <v>17</v>
      </c>
      <c r="C78" s="88">
        <v>12</v>
      </c>
      <c r="D78" s="59">
        <v>405</v>
      </c>
      <c r="E78" s="59">
        <f>SUM(D78/C78)</f>
        <v>33.75</v>
      </c>
      <c r="F78" s="16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">
      <c r="A79" s="89" t="s">
        <v>61</v>
      </c>
      <c r="B79" s="87" t="s">
        <v>17</v>
      </c>
      <c r="C79" s="88">
        <v>36</v>
      </c>
      <c r="D79" s="59">
        <v>3500</v>
      </c>
      <c r="E79" s="59">
        <f>SUM(D79/C79)</f>
        <v>97.222222222222229</v>
      </c>
      <c r="F79" s="16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">
      <c r="A80" s="89"/>
      <c r="B80" s="87"/>
      <c r="C80" s="88"/>
      <c r="D80" s="59"/>
      <c r="E80" s="59"/>
      <c r="F80" s="16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">
      <c r="A81" s="83" t="s">
        <v>62</v>
      </c>
      <c r="B81" s="87" t="s">
        <v>63</v>
      </c>
      <c r="C81" s="88">
        <v>1</v>
      </c>
      <c r="D81" s="59"/>
      <c r="E81" s="59">
        <f>SUM(E76:E79)</f>
        <v>197.62222222222223</v>
      </c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17"/>
      <c r="B82" s="17"/>
      <c r="C82" s="17"/>
      <c r="D82" s="70" t="s">
        <v>42</v>
      </c>
      <c r="E82" s="71">
        <f>$B$21</f>
        <v>1</v>
      </c>
      <c r="F82" s="72">
        <f>E81*E82</f>
        <v>197.62222222222223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">
      <c r="A83" s="17"/>
      <c r="B83" s="17"/>
      <c r="C83" s="17"/>
      <c r="D83" s="16"/>
      <c r="E83" s="16"/>
      <c r="F83" s="16"/>
      <c r="G83" s="16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3.5" customHeight="1" x14ac:dyDescent="0.2">
      <c r="A84" s="17"/>
      <c r="B84" s="17"/>
      <c r="C84" s="17"/>
      <c r="D84" s="16"/>
      <c r="E84" s="16"/>
      <c r="F84" s="16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7.75" customHeight="1" x14ac:dyDescent="0.2">
      <c r="A85" s="90" t="s">
        <v>64</v>
      </c>
      <c r="B85" s="91"/>
      <c r="C85" s="91"/>
      <c r="D85" s="92"/>
      <c r="E85" s="93"/>
      <c r="F85" s="78">
        <f>F44+F62+E67+F82</f>
        <v>7327.8578022222218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">
      <c r="A86" s="90" t="s">
        <v>65</v>
      </c>
      <c r="B86" s="91"/>
      <c r="C86" s="91"/>
      <c r="D86" s="92"/>
      <c r="E86" s="93"/>
      <c r="F86" s="78">
        <f>F53+F63+E68</f>
        <v>3755.1022400000002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">
      <c r="A87" s="90" t="s">
        <v>66</v>
      </c>
      <c r="B87" s="91"/>
      <c r="C87" s="91"/>
      <c r="D87" s="92"/>
      <c r="E87" s="93"/>
      <c r="F87" s="78">
        <f>F85+F86</f>
        <v>11082.960042222221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">
      <c r="A88" s="90" t="s">
        <v>67</v>
      </c>
      <c r="B88" s="91"/>
      <c r="C88" s="91"/>
      <c r="D88" s="92"/>
      <c r="E88" s="94" t="s">
        <v>68</v>
      </c>
      <c r="F88" s="95">
        <f>F87/E18</f>
        <v>8.2156857244049082</v>
      </c>
      <c r="G88" s="1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">
      <c r="A89" s="17"/>
      <c r="B89" s="17"/>
      <c r="C89" s="17"/>
      <c r="D89" s="16"/>
      <c r="E89" s="16"/>
      <c r="F89" s="16"/>
      <c r="G89" s="1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1.25" customHeight="1" x14ac:dyDescent="0.2">
      <c r="A90" s="50" t="s">
        <v>69</v>
      </c>
      <c r="B90" s="17"/>
      <c r="C90" s="17"/>
      <c r="D90" s="16"/>
      <c r="E90" s="16"/>
      <c r="F90" s="16"/>
      <c r="G90" s="1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1.25" customHeight="1" x14ac:dyDescent="0.2">
      <c r="A91" s="17"/>
      <c r="B91" s="96"/>
      <c r="C91" s="17"/>
      <c r="D91" s="16"/>
      <c r="E91" s="16"/>
      <c r="F91" s="16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">
      <c r="A92" s="17" t="s">
        <v>70</v>
      </c>
      <c r="B92" s="17"/>
      <c r="C92" s="17"/>
      <c r="D92" s="16"/>
      <c r="E92" s="16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">
      <c r="A93" s="17"/>
      <c r="B93" s="17"/>
      <c r="C93" s="17"/>
      <c r="D93" s="16"/>
      <c r="E93" s="16"/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">
      <c r="A94" s="96" t="s">
        <v>71</v>
      </c>
      <c r="B94" s="17"/>
      <c r="C94" s="17"/>
      <c r="D94" s="16"/>
      <c r="E94" s="16"/>
      <c r="F94" s="16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">
      <c r="A95" s="52" t="s">
        <v>16</v>
      </c>
      <c r="B95" s="53" t="s">
        <v>17</v>
      </c>
      <c r="C95" s="53" t="s">
        <v>5</v>
      </c>
      <c r="D95" s="54"/>
      <c r="E95" s="54" t="s">
        <v>19</v>
      </c>
      <c r="F95" s="55" t="s">
        <v>20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56" t="s">
        <v>72</v>
      </c>
      <c r="B96" s="57" t="s">
        <v>52</v>
      </c>
      <c r="C96" s="57">
        <v>1</v>
      </c>
      <c r="D96" s="97">
        <v>156747.32999999999</v>
      </c>
      <c r="E96" s="58">
        <f>C96*D96</f>
        <v>156747.32999999999</v>
      </c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">
      <c r="A97" s="60" t="s">
        <v>73</v>
      </c>
      <c r="B97" s="61" t="s">
        <v>74</v>
      </c>
      <c r="C97" s="69">
        <v>15</v>
      </c>
      <c r="D97" s="59"/>
      <c r="E97" s="59"/>
      <c r="F97" s="16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1.25" customHeight="1" x14ac:dyDescent="0.2">
      <c r="A98" s="60" t="s">
        <v>75</v>
      </c>
      <c r="B98" s="61" t="s">
        <v>74</v>
      </c>
      <c r="C98" s="69">
        <v>7</v>
      </c>
      <c r="D98" s="59"/>
      <c r="E98" s="59"/>
      <c r="F98" s="9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">
      <c r="A99" s="60" t="s">
        <v>76</v>
      </c>
      <c r="B99" s="61" t="s">
        <v>36</v>
      </c>
      <c r="C99" s="99">
        <f>'19. Depreciação'!B9</f>
        <v>60.29</v>
      </c>
      <c r="D99" s="59">
        <f>E96</f>
        <v>156747.32999999999</v>
      </c>
      <c r="E99" s="59">
        <f>C99*D99/100</f>
        <v>94502.965256999989</v>
      </c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1.25" customHeight="1" x14ac:dyDescent="0.2">
      <c r="A100" s="100" t="s">
        <v>77</v>
      </c>
      <c r="B100" s="101" t="s">
        <v>22</v>
      </c>
      <c r="C100" s="101">
        <f>C97*12</f>
        <v>180</v>
      </c>
      <c r="D100" s="102">
        <f>IF(C98&lt;=C97,E99,0)</f>
        <v>94502.965256999989</v>
      </c>
      <c r="E100" s="102">
        <f>IFERROR(D100/C100,0)</f>
        <v>525.01647364999997</v>
      </c>
      <c r="F100" s="16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">
      <c r="A101" s="56" t="s">
        <v>78</v>
      </c>
      <c r="B101" s="57" t="s">
        <v>52</v>
      </c>
      <c r="C101" s="57">
        <v>0</v>
      </c>
      <c r="D101" s="97">
        <v>0</v>
      </c>
      <c r="E101" s="58">
        <f>C101*D101</f>
        <v>0</v>
      </c>
      <c r="F101" s="16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">
      <c r="A102" s="60" t="s">
        <v>73</v>
      </c>
      <c r="B102" s="61" t="s">
        <v>74</v>
      </c>
      <c r="C102" s="69">
        <v>16</v>
      </c>
      <c r="D102" s="59"/>
      <c r="E102" s="59"/>
      <c r="F102" s="16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">
      <c r="A103" s="60" t="s">
        <v>79</v>
      </c>
      <c r="B103" s="61" t="s">
        <v>74</v>
      </c>
      <c r="C103" s="69">
        <v>16</v>
      </c>
      <c r="D103" s="59"/>
      <c r="E103" s="59"/>
      <c r="F103" s="9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">
      <c r="A104" s="60" t="s">
        <v>76</v>
      </c>
      <c r="B104" s="61" t="s">
        <v>36</v>
      </c>
      <c r="C104" s="103">
        <f>IFERROR(VLOOKUP(C102,'19. Depreciação'!A3:B17,2,0),0)</f>
        <v>0</v>
      </c>
      <c r="D104" s="59">
        <f>E101</f>
        <v>0</v>
      </c>
      <c r="E104" s="59">
        <f>C104*D104/100</f>
        <v>0</v>
      </c>
      <c r="F104" s="16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">
      <c r="A105" s="104" t="s">
        <v>80</v>
      </c>
      <c r="B105" s="105" t="s">
        <v>22</v>
      </c>
      <c r="C105" s="105">
        <f>C102*12</f>
        <v>192</v>
      </c>
      <c r="D105" s="106">
        <f>IF(C103&lt;=C102,E104,0)</f>
        <v>0</v>
      </c>
      <c r="E105" s="106">
        <f>IFERROR(D105/C105,0)</f>
        <v>0</v>
      </c>
      <c r="F105" s="16"/>
      <c r="G105" s="16"/>
      <c r="H105" s="17"/>
      <c r="I105" s="107"/>
      <c r="J105" s="10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">
      <c r="A106" s="64" t="s">
        <v>81</v>
      </c>
      <c r="B106" s="65"/>
      <c r="C106" s="65"/>
      <c r="D106" s="66"/>
      <c r="E106" s="67">
        <f>E100+E105</f>
        <v>525.01647364999997</v>
      </c>
      <c r="F106" s="16"/>
      <c r="G106" s="1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">
      <c r="A107" s="104" t="s">
        <v>82</v>
      </c>
      <c r="B107" s="105" t="s">
        <v>52</v>
      </c>
      <c r="C107" s="69">
        <v>1</v>
      </c>
      <c r="D107" s="106">
        <f>E106</f>
        <v>525.01647364999997</v>
      </c>
      <c r="E107" s="67">
        <f>C107*D107</f>
        <v>525.01647364999997</v>
      </c>
      <c r="F107" s="16"/>
      <c r="G107" s="1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">
      <c r="A108" s="108"/>
      <c r="B108" s="108"/>
      <c r="C108" s="108"/>
      <c r="D108" s="70" t="s">
        <v>42</v>
      </c>
      <c r="E108" s="71">
        <v>1</v>
      </c>
      <c r="F108" s="94">
        <f>E107*E108</f>
        <v>525.01647364999997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">
      <c r="A109" s="17"/>
      <c r="B109" s="17"/>
      <c r="C109" s="17"/>
      <c r="D109" s="16"/>
      <c r="E109" s="94" t="s">
        <v>68</v>
      </c>
      <c r="F109" s="94">
        <f>F108/E18</f>
        <v>0.38918938002223868</v>
      </c>
      <c r="G109" s="1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">
      <c r="A110" s="17" t="s">
        <v>83</v>
      </c>
      <c r="B110" s="17"/>
      <c r="C110" s="17"/>
      <c r="D110" s="16"/>
      <c r="E110" s="16"/>
      <c r="F110" s="16"/>
      <c r="G110" s="16"/>
      <c r="H110" s="17"/>
      <c r="I110" s="107"/>
      <c r="J110" s="10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">
      <c r="A111" s="52" t="s">
        <v>16</v>
      </c>
      <c r="B111" s="53" t="s">
        <v>17</v>
      </c>
      <c r="C111" s="53" t="s">
        <v>5</v>
      </c>
      <c r="D111" s="54" t="s">
        <v>18</v>
      </c>
      <c r="E111" s="54" t="s">
        <v>19</v>
      </c>
      <c r="F111" s="55" t="s">
        <v>20</v>
      </c>
      <c r="G111" s="16"/>
      <c r="H111" s="17"/>
      <c r="I111" s="107"/>
      <c r="J111" s="10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hidden="1" customHeight="1" x14ac:dyDescent="0.2">
      <c r="A112" s="60" t="s">
        <v>84</v>
      </c>
      <c r="B112" s="61" t="s">
        <v>52</v>
      </c>
      <c r="C112" s="58">
        <v>1</v>
      </c>
      <c r="D112" s="79">
        <v>3500</v>
      </c>
      <c r="E112" s="59">
        <f>C112*D112</f>
        <v>3500</v>
      </c>
      <c r="F112" s="16"/>
      <c r="G112" s="16"/>
      <c r="H112" s="17"/>
      <c r="I112" s="107"/>
      <c r="J112" s="10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">
      <c r="A113" s="83" t="s">
        <v>85</v>
      </c>
      <c r="B113" s="87" t="s">
        <v>52</v>
      </c>
      <c r="C113" s="58">
        <v>2</v>
      </c>
      <c r="D113" s="79">
        <v>500</v>
      </c>
      <c r="E113" s="59">
        <f>D113*C113</f>
        <v>1000</v>
      </c>
      <c r="F113" s="16"/>
      <c r="G113" s="16"/>
      <c r="H113" s="17"/>
      <c r="I113" s="107"/>
      <c r="J113" s="10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">
      <c r="A114" s="83" t="s">
        <v>86</v>
      </c>
      <c r="B114" s="87" t="s">
        <v>52</v>
      </c>
      <c r="C114" s="58">
        <v>1</v>
      </c>
      <c r="D114" s="79">
        <f>D96*1%</f>
        <v>1567.4732999999999</v>
      </c>
      <c r="E114" s="59">
        <f>D114</f>
        <v>1567.4732999999999</v>
      </c>
      <c r="F114" s="16"/>
      <c r="G114" s="16"/>
      <c r="H114" s="17"/>
      <c r="I114" s="107"/>
      <c r="J114" s="10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">
      <c r="A115" s="83" t="s">
        <v>87</v>
      </c>
      <c r="B115" s="87" t="s">
        <v>52</v>
      </c>
      <c r="C115" s="58">
        <v>1</v>
      </c>
      <c r="D115" s="79">
        <v>2000</v>
      </c>
      <c r="E115" s="59">
        <f>D115</f>
        <v>2000</v>
      </c>
      <c r="F115" s="16"/>
      <c r="G115" s="16"/>
      <c r="H115" s="17"/>
      <c r="I115" s="107"/>
      <c r="J115" s="10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7.25" customHeight="1" x14ac:dyDescent="0.2">
      <c r="A116" s="104" t="s">
        <v>88</v>
      </c>
      <c r="B116" s="105" t="s">
        <v>22</v>
      </c>
      <c r="C116" s="105">
        <v>10</v>
      </c>
      <c r="D116" s="106">
        <f>SUM(D112:D115)</f>
        <v>7567.4732999999997</v>
      </c>
      <c r="E116" s="106">
        <f>D116/C116</f>
        <v>756.74732999999992</v>
      </c>
      <c r="F116" s="16"/>
      <c r="G116" s="16"/>
      <c r="H116" s="17"/>
      <c r="I116" s="107"/>
      <c r="J116" s="10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">
      <c r="A117" s="109"/>
      <c r="B117" s="110"/>
      <c r="C117" s="17"/>
      <c r="D117" s="70" t="s">
        <v>42</v>
      </c>
      <c r="E117" s="71">
        <v>0.8</v>
      </c>
      <c r="F117" s="72">
        <f>E116*E117</f>
        <v>605.39786399999991</v>
      </c>
      <c r="G117" s="16"/>
      <c r="H117" s="17"/>
      <c r="I117" s="107"/>
      <c r="J117" s="10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">
      <c r="A118" s="17"/>
      <c r="B118" s="17"/>
      <c r="C118" s="17"/>
      <c r="D118" s="16"/>
      <c r="E118" s="94" t="s">
        <v>68</v>
      </c>
      <c r="F118" s="94">
        <f>F117/E18</f>
        <v>0.4487752883617494</v>
      </c>
      <c r="G118" s="16"/>
      <c r="H118" s="17"/>
      <c r="I118" s="107"/>
      <c r="J118" s="10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1.25" customHeight="1" x14ac:dyDescent="0.2">
      <c r="A119" s="17" t="s">
        <v>89</v>
      </c>
      <c r="B119" s="111"/>
      <c r="C119" s="17"/>
      <c r="D119" s="16"/>
      <c r="E119" s="16"/>
      <c r="F119" s="16"/>
      <c r="G119" s="16"/>
      <c r="H119" s="17"/>
      <c r="I119" s="107"/>
      <c r="J119" s="10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">
      <c r="A120" s="17"/>
      <c r="B120" s="111"/>
      <c r="C120" s="17"/>
      <c r="D120" s="16"/>
      <c r="E120" s="16"/>
      <c r="F120" s="16"/>
      <c r="G120" s="16"/>
      <c r="H120" s="17"/>
      <c r="I120" s="107"/>
      <c r="J120" s="10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">
      <c r="A121" s="52" t="s">
        <v>16</v>
      </c>
      <c r="B121" s="53" t="s">
        <v>17</v>
      </c>
      <c r="C121" s="53" t="s">
        <v>90</v>
      </c>
      <c r="D121" s="54" t="s">
        <v>18</v>
      </c>
      <c r="E121" s="54" t="s">
        <v>19</v>
      </c>
      <c r="F121" s="55" t="s">
        <v>20</v>
      </c>
      <c r="G121" s="16"/>
      <c r="H121" s="17"/>
      <c r="I121" s="107"/>
      <c r="J121" s="10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">
      <c r="A122" s="56" t="s">
        <v>91</v>
      </c>
      <c r="B122" s="57" t="s">
        <v>92</v>
      </c>
      <c r="C122" s="112">
        <v>3</v>
      </c>
      <c r="D122" s="113">
        <f>Médias!C24</f>
        <v>6.1433333333333335</v>
      </c>
      <c r="E122" s="58"/>
      <c r="F122" s="16"/>
      <c r="G122" s="16"/>
      <c r="H122" s="17"/>
      <c r="I122" s="107"/>
      <c r="J122" s="10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">
      <c r="A123" s="60" t="s">
        <v>93</v>
      </c>
      <c r="B123" s="61" t="s">
        <v>94</v>
      </c>
      <c r="C123" s="59">
        <f>E18</f>
        <v>1349</v>
      </c>
      <c r="D123" s="114">
        <f>C123/C122</f>
        <v>449.66666666666669</v>
      </c>
      <c r="E123" s="59">
        <f>D122*D123</f>
        <v>2762.4522222222226</v>
      </c>
      <c r="F123" s="16"/>
      <c r="G123" s="16"/>
      <c r="H123" s="17"/>
      <c r="I123" s="107"/>
      <c r="J123" s="10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">
      <c r="A124" s="83" t="s">
        <v>95</v>
      </c>
      <c r="B124" s="87" t="s">
        <v>96</v>
      </c>
      <c r="C124" s="59">
        <v>2</v>
      </c>
      <c r="D124" s="114">
        <f>Médias!C31</f>
        <v>43.933333333333337</v>
      </c>
      <c r="E124" s="59"/>
      <c r="F124" s="16"/>
      <c r="G124" s="16"/>
      <c r="H124" s="17"/>
      <c r="I124" s="107"/>
      <c r="J124" s="10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">
      <c r="A125" s="83" t="s">
        <v>97</v>
      </c>
      <c r="B125" s="87" t="s">
        <v>98</v>
      </c>
      <c r="C125" s="59">
        <f>E18</f>
        <v>1349</v>
      </c>
      <c r="D125" s="115">
        <v>0.05</v>
      </c>
      <c r="E125" s="59">
        <f>C125*D125</f>
        <v>67.45</v>
      </c>
      <c r="F125" s="16"/>
      <c r="G125" s="16"/>
      <c r="H125" s="17"/>
      <c r="I125" s="107"/>
      <c r="J125" s="10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">
      <c r="A126" s="116" t="s">
        <v>99</v>
      </c>
      <c r="B126" s="105"/>
      <c r="C126" s="117"/>
      <c r="D126" s="118"/>
      <c r="E126" s="59"/>
      <c r="F126" s="16"/>
      <c r="G126" s="16"/>
      <c r="H126" s="17"/>
      <c r="I126" s="107"/>
      <c r="J126" s="10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">
      <c r="A127" s="17"/>
      <c r="B127" s="17"/>
      <c r="C127" s="17"/>
      <c r="D127" s="16"/>
      <c r="E127" s="16"/>
      <c r="F127" s="94">
        <f>SUM(E122:E125)</f>
        <v>2829.9022222222225</v>
      </c>
      <c r="G127" s="16"/>
      <c r="H127" s="17"/>
      <c r="I127" s="107"/>
      <c r="J127" s="10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">
      <c r="A128" s="17"/>
      <c r="B128" s="17"/>
      <c r="C128" s="17"/>
      <c r="D128" s="16"/>
      <c r="E128" s="94" t="s">
        <v>68</v>
      </c>
      <c r="F128" s="94">
        <f>F127/E18</f>
        <v>2.097777777777778</v>
      </c>
      <c r="G128" s="16"/>
      <c r="H128" s="17"/>
      <c r="I128" s="107"/>
      <c r="J128" s="10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">
      <c r="A129" s="17" t="s">
        <v>100</v>
      </c>
      <c r="B129" s="17"/>
      <c r="C129" s="17"/>
      <c r="D129" s="16"/>
      <c r="E129" s="16"/>
      <c r="F129" s="16"/>
      <c r="G129" s="16"/>
      <c r="H129" s="17"/>
      <c r="I129" s="107" t="s">
        <v>101</v>
      </c>
      <c r="J129" s="10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">
      <c r="A130" s="52" t="s">
        <v>16</v>
      </c>
      <c r="B130" s="54" t="s">
        <v>102</v>
      </c>
      <c r="C130" s="53" t="s">
        <v>5</v>
      </c>
      <c r="D130" s="54" t="s">
        <v>103</v>
      </c>
      <c r="E130" s="54" t="s">
        <v>19</v>
      </c>
      <c r="F130" s="55" t="s">
        <v>20</v>
      </c>
      <c r="G130" s="16"/>
      <c r="H130" s="17"/>
      <c r="I130" s="107"/>
      <c r="J130" s="10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">
      <c r="A131" s="6" t="s">
        <v>104</v>
      </c>
      <c r="B131" s="119">
        <v>35000</v>
      </c>
      <c r="C131" s="120">
        <v>7</v>
      </c>
      <c r="D131" s="121">
        <f>Médias!D45</f>
        <v>883.64666666666665</v>
      </c>
      <c r="E131" s="121">
        <f>C131*D131</f>
        <v>6185.5266666666666</v>
      </c>
      <c r="F131" s="16"/>
      <c r="G131" s="16"/>
      <c r="H131" s="17"/>
      <c r="I131" s="107"/>
      <c r="J131" s="10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">
      <c r="A132" s="6"/>
      <c r="B132" s="122" t="s">
        <v>105</v>
      </c>
      <c r="C132" s="123">
        <f>E18</f>
        <v>1349</v>
      </c>
      <c r="D132" s="124" t="s">
        <v>106</v>
      </c>
      <c r="E132" s="121">
        <f>E131/(B131/C132)</f>
        <v>238.40787066666667</v>
      </c>
      <c r="F132" s="16"/>
      <c r="G132" s="16"/>
      <c r="H132" s="17"/>
      <c r="I132" s="107"/>
      <c r="J132" s="10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">
      <c r="A133" s="17"/>
      <c r="B133" s="17"/>
      <c r="C133" s="17"/>
      <c r="D133" s="16"/>
      <c r="E133" s="16"/>
      <c r="F133" s="94">
        <f>E132</f>
        <v>238.40787066666667</v>
      </c>
      <c r="G133" s="16"/>
      <c r="H133" s="17"/>
      <c r="I133" s="107"/>
      <c r="J133" s="10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">
      <c r="A134" s="17"/>
      <c r="B134" s="17"/>
      <c r="C134" s="17"/>
      <c r="D134" s="16"/>
      <c r="E134" s="16"/>
      <c r="F134" s="125"/>
      <c r="G134" s="16"/>
      <c r="H134" s="17"/>
      <c r="I134" s="107"/>
      <c r="J134" s="10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">
      <c r="A135" s="90" t="s">
        <v>107</v>
      </c>
      <c r="B135" s="91"/>
      <c r="C135" s="91"/>
      <c r="D135" s="92"/>
      <c r="E135" s="93"/>
      <c r="F135" s="94">
        <f>F82+F108+F117+F127+F133</f>
        <v>4396.3466527611117</v>
      </c>
      <c r="G135" s="16"/>
      <c r="H135" s="17"/>
      <c r="I135" s="107"/>
      <c r="J135" s="10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hidden="1" customHeight="1" x14ac:dyDescent="0.2">
      <c r="A136" s="17"/>
      <c r="B136" s="17"/>
      <c r="C136" s="17"/>
      <c r="D136" s="16"/>
      <c r="E136" s="16"/>
      <c r="F136" s="16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hidden="1" customHeight="1" x14ac:dyDescent="0.2">
      <c r="A137" s="50" t="s">
        <v>108</v>
      </c>
      <c r="B137" s="50"/>
      <c r="C137" s="50"/>
      <c r="D137" s="49"/>
      <c r="E137" s="49"/>
      <c r="F137" s="66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hidden="1" customHeight="1" x14ac:dyDescent="0.2">
      <c r="A138" s="17"/>
      <c r="B138" s="17"/>
      <c r="C138" s="17"/>
      <c r="D138" s="16"/>
      <c r="E138" s="16"/>
      <c r="F138" s="16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hidden="1" customHeight="1" x14ac:dyDescent="0.2">
      <c r="A139" s="52" t="s">
        <v>16</v>
      </c>
      <c r="B139" s="53" t="s">
        <v>17</v>
      </c>
      <c r="C139" s="53" t="s">
        <v>5</v>
      </c>
      <c r="D139" s="54" t="s">
        <v>18</v>
      </c>
      <c r="E139" s="54" t="s">
        <v>19</v>
      </c>
      <c r="F139" s="55" t="s">
        <v>20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1.25" hidden="1" customHeight="1" x14ac:dyDescent="0.2">
      <c r="A140" s="60" t="s">
        <v>109</v>
      </c>
      <c r="B140" s="126" t="s">
        <v>110</v>
      </c>
      <c r="C140" s="88">
        <v>0</v>
      </c>
      <c r="D140" s="79">
        <v>600</v>
      </c>
      <c r="E140" s="59">
        <f>+D140*C140</f>
        <v>0</v>
      </c>
      <c r="F140" s="98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hidden="1" customHeight="1" x14ac:dyDescent="0.2">
      <c r="A141" s="60" t="s">
        <v>111</v>
      </c>
      <c r="B141" s="126" t="s">
        <v>22</v>
      </c>
      <c r="C141" s="61">
        <v>60</v>
      </c>
      <c r="D141" s="127">
        <f>SUM(E140)</f>
        <v>0</v>
      </c>
      <c r="E141" s="127">
        <f>+D141/C141</f>
        <v>0</v>
      </c>
      <c r="F141" s="98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1.25" hidden="1" customHeight="1" x14ac:dyDescent="0.2">
      <c r="A142" s="60" t="s">
        <v>112</v>
      </c>
      <c r="B142" s="126" t="s">
        <v>22</v>
      </c>
      <c r="C142" s="61">
        <v>1</v>
      </c>
      <c r="D142" s="79">
        <v>100</v>
      </c>
      <c r="E142" s="59">
        <f>C142*D142</f>
        <v>100</v>
      </c>
      <c r="F142" s="98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hidden="1" customHeight="1" x14ac:dyDescent="0.2">
      <c r="A143" s="60" t="s">
        <v>112</v>
      </c>
      <c r="B143" s="126" t="s">
        <v>113</v>
      </c>
      <c r="C143" s="61">
        <v>0</v>
      </c>
      <c r="D143" s="127">
        <f>+E142</f>
        <v>100</v>
      </c>
      <c r="E143" s="127">
        <f>C143*D143</f>
        <v>0</v>
      </c>
      <c r="F143" s="98"/>
      <c r="G143" s="16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1.25" hidden="1" customHeight="1" x14ac:dyDescent="0.2">
      <c r="A144" s="81"/>
      <c r="B144" s="81"/>
      <c r="C144" s="17"/>
      <c r="D144" s="70" t="s">
        <v>42</v>
      </c>
      <c r="E144" s="71" t="e">
        <f>#REF!</f>
        <v>#REF!</v>
      </c>
      <c r="F144" s="94" t="e">
        <f>(E143+E141)*E144</f>
        <v>#REF!</v>
      </c>
      <c r="G144" s="16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hidden="1" customHeight="1" x14ac:dyDescent="0.2">
      <c r="A145" s="17"/>
      <c r="B145" s="17"/>
      <c r="C145" s="17"/>
      <c r="D145" s="16"/>
      <c r="E145" s="16"/>
      <c r="F145" s="16"/>
      <c r="G145" s="16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">
      <c r="A146" s="17"/>
      <c r="B146" s="17"/>
      <c r="C146" s="17"/>
      <c r="D146" s="16"/>
      <c r="E146" s="16"/>
      <c r="F146" s="16"/>
      <c r="G146" s="16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">
      <c r="A147" s="90" t="s">
        <v>114</v>
      </c>
      <c r="B147" s="128"/>
      <c r="C147" s="128"/>
      <c r="D147" s="129"/>
      <c r="E147" s="130"/>
      <c r="F147" s="78">
        <f>SUM(F87+F135)</f>
        <v>15479.306694983334</v>
      </c>
      <c r="G147" s="16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">
      <c r="A148" s="90" t="s">
        <v>115</v>
      </c>
      <c r="B148" s="128"/>
      <c r="C148" s="128"/>
      <c r="D148" s="129"/>
      <c r="E148" s="94" t="s">
        <v>68</v>
      </c>
      <c r="F148" s="95">
        <f>F147/E18</f>
        <v>11.474652850247097</v>
      </c>
      <c r="G148" s="16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">
      <c r="A149" s="90" t="s">
        <v>116</v>
      </c>
      <c r="B149" s="128"/>
      <c r="C149" s="131" t="s">
        <v>117</v>
      </c>
      <c r="D149" s="132">
        <v>0.5</v>
      </c>
      <c r="E149" s="94"/>
      <c r="F149" s="95">
        <f>ROUND(F147*D149+F147,2)</f>
        <v>23218.959999999999</v>
      </c>
      <c r="G149" s="16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">
      <c r="A150" s="90" t="s">
        <v>118</v>
      </c>
      <c r="B150" s="128"/>
      <c r="C150" s="131" t="s">
        <v>117</v>
      </c>
      <c r="D150" s="132">
        <v>0.5</v>
      </c>
      <c r="E150" s="94"/>
      <c r="F150" s="95">
        <f>F149/E18</f>
        <v>17.211979243884358</v>
      </c>
      <c r="G150" s="16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">
      <c r="A151" s="17"/>
      <c r="B151" s="17"/>
      <c r="C151" s="17"/>
      <c r="D151" s="16"/>
      <c r="E151" s="16"/>
      <c r="F151" s="16"/>
      <c r="G151" s="16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1.25" customHeight="1" x14ac:dyDescent="0.2">
      <c r="A152" s="50" t="s">
        <v>119</v>
      </c>
      <c r="B152" s="17"/>
      <c r="C152" s="17"/>
      <c r="D152" s="16"/>
      <c r="E152" s="16"/>
      <c r="F152" s="16"/>
      <c r="G152" s="133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spans="1:26" ht="12.75" customHeight="1" x14ac:dyDescent="0.2">
      <c r="A153" s="17"/>
      <c r="B153" s="17"/>
      <c r="C153" s="17"/>
      <c r="D153" s="16"/>
      <c r="E153" s="16"/>
      <c r="F153" s="16"/>
      <c r="G153" s="16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1.25" customHeight="1" x14ac:dyDescent="0.2">
      <c r="A154" s="52" t="s">
        <v>16</v>
      </c>
      <c r="B154" s="53" t="s">
        <v>17</v>
      </c>
      <c r="C154" s="53">
        <v>5.01</v>
      </c>
      <c r="D154" s="54" t="s">
        <v>18</v>
      </c>
      <c r="E154" s="54" t="s">
        <v>19</v>
      </c>
      <c r="F154" s="55" t="s">
        <v>20</v>
      </c>
      <c r="G154" s="16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7.25" customHeight="1" x14ac:dyDescent="0.2">
      <c r="A155" s="56" t="s">
        <v>120</v>
      </c>
      <c r="B155" s="57" t="s">
        <v>36</v>
      </c>
      <c r="C155" s="68">
        <f>'18.BDI'!C21</f>
        <v>0.2021</v>
      </c>
      <c r="D155" s="58">
        <f>+F147</f>
        <v>15479.306694983334</v>
      </c>
      <c r="E155" s="58">
        <f>C155*D155</f>
        <v>3128.3678830561316</v>
      </c>
      <c r="F155" s="16"/>
      <c r="G155" s="16"/>
      <c r="H155" s="135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7.25" customHeight="1" x14ac:dyDescent="0.2">
      <c r="A156" s="17"/>
      <c r="B156" s="17"/>
      <c r="C156" s="17"/>
      <c r="D156" s="16"/>
      <c r="E156" s="16"/>
      <c r="F156" s="94">
        <f>+E155</f>
        <v>3128.3678830561316</v>
      </c>
      <c r="G156" s="16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1.25" customHeight="1" x14ac:dyDescent="0.2">
      <c r="A157" s="17"/>
      <c r="B157" s="17"/>
      <c r="C157" s="17"/>
      <c r="D157" s="16"/>
      <c r="E157" s="16"/>
      <c r="F157" s="16"/>
      <c r="G157" s="16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">
      <c r="A158" s="90" t="s">
        <v>121</v>
      </c>
      <c r="B158" s="128"/>
      <c r="C158" s="128"/>
      <c r="D158" s="129"/>
      <c r="E158" s="130"/>
      <c r="F158" s="78">
        <f>F156</f>
        <v>3128.3678830561316</v>
      </c>
      <c r="G158" s="16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1.25" customHeight="1" x14ac:dyDescent="0.2">
      <c r="A159" s="90" t="s">
        <v>122</v>
      </c>
      <c r="B159" s="128"/>
      <c r="C159" s="128"/>
      <c r="D159" s="129"/>
      <c r="E159" s="94" t="s">
        <v>68</v>
      </c>
      <c r="F159" s="95">
        <f>F158/E18</f>
        <v>2.3190273410349382</v>
      </c>
      <c r="G159" s="16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">
      <c r="A160" s="17"/>
      <c r="B160" s="17"/>
      <c r="C160" s="17"/>
      <c r="D160" s="16"/>
      <c r="E160" s="16"/>
      <c r="F160" s="16"/>
      <c r="G160" s="16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">
      <c r="A161" s="90" t="s">
        <v>123</v>
      </c>
      <c r="B161" s="128"/>
      <c r="C161" s="128"/>
      <c r="D161" s="129"/>
      <c r="E161" s="130"/>
      <c r="F161" s="78">
        <f>F149+F158</f>
        <v>26347.327883056132</v>
      </c>
      <c r="G161" s="16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">
      <c r="A162" s="90" t="s">
        <v>124</v>
      </c>
      <c r="B162" s="91"/>
      <c r="C162" s="91"/>
      <c r="D162" s="92"/>
      <c r="E162" s="94" t="s">
        <v>68</v>
      </c>
      <c r="F162" s="136">
        <f>F161/E18</f>
        <v>19.531006584919297</v>
      </c>
      <c r="G162" s="16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1.25" customHeight="1" x14ac:dyDescent="0.2">
      <c r="A163" s="30"/>
      <c r="B163" s="30"/>
      <c r="C163" s="30"/>
      <c r="D163" s="29"/>
      <c r="E163" s="29"/>
      <c r="F163" s="16"/>
      <c r="G163" s="16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6.25" customHeight="1" x14ac:dyDescent="0.2">
      <c r="A164" s="90" t="s">
        <v>125</v>
      </c>
      <c r="B164" s="91"/>
      <c r="C164" s="91"/>
      <c r="D164" s="92"/>
      <c r="E164" s="137">
        <v>0</v>
      </c>
      <c r="F164" s="138">
        <f>(E164*F161)+F161</f>
        <v>26347.327883056132</v>
      </c>
      <c r="G164" s="16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4.75" customHeight="1" x14ac:dyDescent="0.2">
      <c r="E165" s="94" t="s">
        <v>68</v>
      </c>
      <c r="F165" s="139">
        <f>F164/E18</f>
        <v>19.531006584919297</v>
      </c>
      <c r="G165" s="16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" customHeight="1" x14ac:dyDescent="0.2">
      <c r="G166" s="16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">
      <c r="G167" s="16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">
      <c r="G168" s="1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5.5" customHeight="1" x14ac:dyDescent="0.2">
      <c r="G169" s="16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" customHeight="1" x14ac:dyDescent="0.2"/>
    <row r="171" spans="1:26" ht="13.5" customHeight="1" x14ac:dyDescent="0.2"/>
    <row r="172" spans="1:26" ht="9.75" customHeight="1" x14ac:dyDescent="0.2"/>
    <row r="173" spans="1:26" ht="9.75" customHeight="1" x14ac:dyDescent="0.2"/>
    <row r="203" ht="9" customHeight="1" x14ac:dyDescent="0.2"/>
  </sheetData>
  <mergeCells count="9">
    <mergeCell ref="A14:D14"/>
    <mergeCell ref="A75:B75"/>
    <mergeCell ref="C75:D75"/>
    <mergeCell ref="A131:A132"/>
    <mergeCell ref="A1:F1"/>
    <mergeCell ref="A3:F3"/>
    <mergeCell ref="A4:F4"/>
    <mergeCell ref="A6:E6"/>
    <mergeCell ref="A7:D7"/>
  </mergeCells>
  <hyperlinks>
    <hyperlink ref="A94" location="Google_Sheet_Link_1352214653" display="2.1.1. Depreciação"/>
  </hyperlinks>
  <pageMargins left="0.905555555555556" right="0.51180555555555596" top="0.74791666666666701" bottom="0.74791666666666701" header="0.511811023622047" footer="0"/>
  <pageSetup paperSize="9" fitToHeight="2" orientation="portrait" horizontalDpi="300" verticalDpi="300"/>
  <headerFooter>
    <oddFooter>&amp;R&amp;P de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topLeftCell="A5" zoomScale="95" zoomScaleNormal="95" workbookViewId="0">
      <selection activeCell="D36" sqref="D36"/>
    </sheetView>
  </sheetViews>
  <sheetFormatPr defaultColWidth="11.5703125" defaultRowHeight="12.75" customHeight="1" x14ac:dyDescent="0.2"/>
  <cols>
    <col min="1" max="1" width="13.42578125" style="15" customWidth="1"/>
    <col min="2" max="2" width="39.42578125" style="15" customWidth="1"/>
    <col min="3" max="3" width="20.85546875" style="15" customWidth="1"/>
    <col min="4" max="4" width="37.42578125" style="15" customWidth="1"/>
    <col min="5" max="10" width="9.140625" style="15" customWidth="1"/>
    <col min="11" max="11" width="11" style="15" customWidth="1"/>
    <col min="12" max="26" width="9.140625" style="15" customWidth="1"/>
    <col min="27" max="64" width="12.7109375" style="15" customWidth="1"/>
  </cols>
  <sheetData>
    <row r="1" spans="1:26" ht="12.75" customHeight="1" x14ac:dyDescent="0.2">
      <c r="A1" s="50" t="s">
        <v>126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2.75" customHeight="1" x14ac:dyDescent="0.2">
      <c r="A2" s="20" t="s">
        <v>127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5" customHeight="1" x14ac:dyDescent="0.2">
      <c r="A3" s="17"/>
      <c r="B3" s="20"/>
      <c r="C3" s="20"/>
      <c r="D3" s="20"/>
      <c r="E3" s="20"/>
      <c r="F3" s="20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" hidden="1" customHeight="1" x14ac:dyDescent="0.2">
      <c r="A4" s="141" t="s">
        <v>128</v>
      </c>
      <c r="B4" s="20"/>
      <c r="C4" s="20"/>
      <c r="D4" s="20"/>
      <c r="E4" s="20"/>
      <c r="F4" s="20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6.5" customHeight="1" x14ac:dyDescent="0.2">
      <c r="A5" s="18" t="s">
        <v>129</v>
      </c>
      <c r="B5" s="20"/>
      <c r="C5" s="20"/>
      <c r="D5" s="16"/>
      <c r="E5" s="16"/>
      <c r="F5" s="16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6.5" customHeight="1" x14ac:dyDescent="0.2">
      <c r="A6" s="18" t="s">
        <v>130</v>
      </c>
      <c r="B6" s="20"/>
      <c r="C6" s="20"/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2.75" customHeight="1" x14ac:dyDescent="0.2">
      <c r="A8" s="5" t="s">
        <v>131</v>
      </c>
      <c r="B8" s="5"/>
      <c r="C8" s="5"/>
      <c r="D8" s="142"/>
      <c r="E8" s="142"/>
      <c r="F8" s="14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2.75" customHeight="1" x14ac:dyDescent="0.2">
      <c r="A9" s="143" t="s">
        <v>132</v>
      </c>
      <c r="B9" s="144" t="s">
        <v>133</v>
      </c>
      <c r="C9" s="145" t="s">
        <v>134</v>
      </c>
      <c r="D9" s="146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2.75" customHeight="1" x14ac:dyDescent="0.2">
      <c r="A10" s="143" t="s">
        <v>135</v>
      </c>
      <c r="B10" s="144" t="s">
        <v>136</v>
      </c>
      <c r="C10" s="147">
        <v>0.2</v>
      </c>
      <c r="D10" s="146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2.75" customHeight="1" x14ac:dyDescent="0.2">
      <c r="A11" s="143" t="s">
        <v>137</v>
      </c>
      <c r="B11" s="144" t="s">
        <v>138</v>
      </c>
      <c r="C11" s="147">
        <v>1.4999999999999999E-2</v>
      </c>
      <c r="D11" s="146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2.75" customHeight="1" x14ac:dyDescent="0.2">
      <c r="A12" s="143" t="s">
        <v>139</v>
      </c>
      <c r="B12" s="144" t="s">
        <v>140</v>
      </c>
      <c r="C12" s="147">
        <v>0.01</v>
      </c>
      <c r="D12" s="146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2.75" customHeight="1" x14ac:dyDescent="0.2">
      <c r="A13" s="143" t="s">
        <v>141</v>
      </c>
      <c r="B13" s="144" t="s">
        <v>142</v>
      </c>
      <c r="C13" s="147">
        <v>2E-3</v>
      </c>
      <c r="D13" s="146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2.75" customHeight="1" x14ac:dyDescent="0.2">
      <c r="A14" s="143" t="s">
        <v>143</v>
      </c>
      <c r="B14" s="144" t="s">
        <v>144</v>
      </c>
      <c r="C14" s="147">
        <v>6.0000000000000001E-3</v>
      </c>
      <c r="D14" s="146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2.75" customHeight="1" x14ac:dyDescent="0.2">
      <c r="A15" s="143" t="s">
        <v>145</v>
      </c>
      <c r="B15" s="144" t="s">
        <v>146</v>
      </c>
      <c r="C15" s="147">
        <v>2.5000000000000001E-2</v>
      </c>
      <c r="D15" s="146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2.75" customHeight="1" x14ac:dyDescent="0.2">
      <c r="A16" s="143" t="s">
        <v>147</v>
      </c>
      <c r="B16" s="144" t="s">
        <v>148</v>
      </c>
      <c r="C16" s="147">
        <v>0.03</v>
      </c>
      <c r="D16" s="146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2.75" customHeight="1" x14ac:dyDescent="0.2">
      <c r="A17" s="143" t="s">
        <v>149</v>
      </c>
      <c r="B17" s="144" t="s">
        <v>150</v>
      </c>
      <c r="C17" s="147">
        <v>0.08</v>
      </c>
      <c r="D17" s="146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2.75" customHeight="1" x14ac:dyDescent="0.2">
      <c r="A18" s="143" t="s">
        <v>151</v>
      </c>
      <c r="B18" s="148" t="s">
        <v>152</v>
      </c>
      <c r="C18" s="149">
        <f>SUM(C10:C17)</f>
        <v>0.36800000000000005</v>
      </c>
      <c r="D18" s="146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12.75" customHeight="1" x14ac:dyDescent="0.2">
      <c r="A19" s="150"/>
      <c r="B19" s="151"/>
      <c r="C19" s="152"/>
      <c r="D19" s="146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12.75" customHeight="1" x14ac:dyDescent="0.2">
      <c r="A20" s="143" t="s">
        <v>153</v>
      </c>
      <c r="B20" s="144" t="s">
        <v>154</v>
      </c>
      <c r="C20" s="147">
        <v>6.1899999999999997E-2</v>
      </c>
      <c r="D20" s="146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12.75" customHeight="1" x14ac:dyDescent="0.2">
      <c r="A21" s="143" t="s">
        <v>155</v>
      </c>
      <c r="B21" s="144" t="s">
        <v>156</v>
      </c>
      <c r="C21" s="147">
        <f>ROUND('17.CAGED'!C36/'17.CAGED'!C33,4)</f>
        <v>8.3299999999999999E-2</v>
      </c>
      <c r="D21" s="146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12.75" customHeight="1" x14ac:dyDescent="0.2">
      <c r="A22" s="143" t="s">
        <v>157</v>
      </c>
      <c r="B22" s="144" t="s">
        <v>158</v>
      </c>
      <c r="C22" s="147">
        <v>5.9999999999999995E-4</v>
      </c>
      <c r="D22" s="146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12.75" customHeight="1" x14ac:dyDescent="0.2">
      <c r="A23" s="143" t="s">
        <v>159</v>
      </c>
      <c r="B23" s="144" t="s">
        <v>160</v>
      </c>
      <c r="C23" s="147">
        <v>8.2000000000000007E-3</v>
      </c>
      <c r="D23" s="146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12.75" customHeight="1" x14ac:dyDescent="0.2">
      <c r="A24" s="143" t="s">
        <v>161</v>
      </c>
      <c r="B24" s="144" t="s">
        <v>162</v>
      </c>
      <c r="C24" s="147">
        <v>3.0999999999999999E-3</v>
      </c>
      <c r="D24" s="146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12.75" customHeight="1" x14ac:dyDescent="0.2">
      <c r="A25" s="143" t="s">
        <v>163</v>
      </c>
      <c r="B25" s="144" t="s">
        <v>164</v>
      </c>
      <c r="C25" s="147">
        <v>1.66E-2</v>
      </c>
      <c r="D25" s="146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2.75" customHeight="1" x14ac:dyDescent="0.2">
      <c r="A26" s="143" t="s">
        <v>165</v>
      </c>
      <c r="B26" s="148" t="s">
        <v>166</v>
      </c>
      <c r="C26" s="149">
        <f>SUM(C20:C25)</f>
        <v>0.17369999999999999</v>
      </c>
      <c r="D26" s="153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12.75" customHeight="1" x14ac:dyDescent="0.2">
      <c r="A27" s="150"/>
      <c r="B27" s="151"/>
      <c r="C27" s="152"/>
      <c r="D27" s="153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12.75" customHeight="1" x14ac:dyDescent="0.2">
      <c r="A28" s="143" t="s">
        <v>167</v>
      </c>
      <c r="B28" s="144" t="s">
        <v>168</v>
      </c>
      <c r="C28" s="147">
        <v>2.5600000000000001E-2</v>
      </c>
      <c r="D28" s="146"/>
      <c r="E28" s="154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12.75" customHeight="1" x14ac:dyDescent="0.2">
      <c r="A29" s="143" t="s">
        <v>169</v>
      </c>
      <c r="B29" s="144" t="s">
        <v>170</v>
      </c>
      <c r="C29" s="147">
        <v>4.9200000000000001E-2</v>
      </c>
      <c r="D29" s="146"/>
      <c r="E29" s="140"/>
      <c r="F29" s="140"/>
      <c r="G29" s="140"/>
      <c r="H29" s="155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12.75" customHeight="1" x14ac:dyDescent="0.2">
      <c r="A30" s="143" t="s">
        <v>171</v>
      </c>
      <c r="B30" s="144" t="s">
        <v>172</v>
      </c>
      <c r="C30" s="147">
        <v>1.2999999999999999E-3</v>
      </c>
      <c r="D30" s="146"/>
      <c r="E30" s="154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12.75" customHeight="1" x14ac:dyDescent="0.2">
      <c r="A31" s="143" t="s">
        <v>173</v>
      </c>
      <c r="B31" s="144" t="s">
        <v>174</v>
      </c>
      <c r="C31" s="147">
        <v>2.0500000000000001E-2</v>
      </c>
      <c r="D31" s="146"/>
      <c r="E31" s="140"/>
      <c r="F31" s="140"/>
      <c r="G31" s="154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12.75" customHeight="1" x14ac:dyDescent="0.2">
      <c r="A32" s="143" t="s">
        <v>175</v>
      </c>
      <c r="B32" s="144" t="s">
        <v>176</v>
      </c>
      <c r="C32" s="156">
        <v>1.8E-3</v>
      </c>
      <c r="D32" s="146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12.75" customHeight="1" x14ac:dyDescent="0.2">
      <c r="A33" s="143" t="s">
        <v>177</v>
      </c>
      <c r="B33" s="148" t="s">
        <v>178</v>
      </c>
      <c r="C33" s="149">
        <f>SUM(C28:C32)</f>
        <v>9.8400000000000001E-2</v>
      </c>
      <c r="D33" s="153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12.75" customHeight="1" x14ac:dyDescent="0.2">
      <c r="A34" s="150"/>
      <c r="B34" s="151"/>
      <c r="C34" s="152"/>
      <c r="D34" s="153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12.75" customHeight="1" x14ac:dyDescent="0.2">
      <c r="A35" s="143" t="s">
        <v>179</v>
      </c>
      <c r="B35" s="144" t="s">
        <v>180</v>
      </c>
      <c r="C35" s="147">
        <f>ROUND(C18*C26,4)</f>
        <v>6.3899999999999998E-2</v>
      </c>
      <c r="D35" s="146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12.75" customHeight="1" x14ac:dyDescent="0.2">
      <c r="A36" s="143" t="s">
        <v>181</v>
      </c>
      <c r="B36" s="157" t="s">
        <v>182</v>
      </c>
      <c r="C36" s="147">
        <f>ROUND((C28*C17),4)</f>
        <v>2E-3</v>
      </c>
      <c r="D36" s="146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12.75" customHeight="1" x14ac:dyDescent="0.2">
      <c r="A37" s="143" t="s">
        <v>183</v>
      </c>
      <c r="B37" s="148" t="s">
        <v>184</v>
      </c>
      <c r="C37" s="149">
        <f>SUM(C35:C36)</f>
        <v>6.59E-2</v>
      </c>
      <c r="D37" s="153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12.75" customHeight="1" x14ac:dyDescent="0.2">
      <c r="A38" s="158"/>
      <c r="B38" s="159" t="s">
        <v>185</v>
      </c>
      <c r="C38" s="160">
        <f>C37+C33+C26+C18</f>
        <v>0.70599999999999996</v>
      </c>
      <c r="D38" s="153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12.75" customHeight="1" x14ac:dyDescent="0.2">
      <c r="A39" s="146"/>
      <c r="B39" s="161"/>
      <c r="C39" s="162"/>
      <c r="D39" s="163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12.75" customHeight="1" x14ac:dyDescent="0.2">
      <c r="A40" s="146"/>
      <c r="B40" s="146"/>
      <c r="C40" s="164"/>
      <c r="D40" s="165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</sheetData>
  <mergeCells count="1">
    <mergeCell ref="A8:C8"/>
  </mergeCells>
  <pageMargins left="0.905555555555556" right="0.51180555555555596" top="0.74791666666666701" bottom="0.7479166666666670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topLeftCell="A7" zoomScale="95" zoomScaleNormal="95" workbookViewId="0">
      <selection activeCell="B35" sqref="B35"/>
    </sheetView>
  </sheetViews>
  <sheetFormatPr defaultColWidth="11.5703125" defaultRowHeight="12.75" customHeight="1" x14ac:dyDescent="0.2"/>
  <cols>
    <col min="1" max="1" width="8.5703125" style="15" customWidth="1"/>
    <col min="2" max="2" width="67.140625" style="15" customWidth="1"/>
    <col min="3" max="3" width="13.5703125" style="15" customWidth="1"/>
    <col min="4" max="4" width="10.42578125" style="15" customWidth="1"/>
    <col min="5" max="5" width="13.5703125" style="15" customWidth="1"/>
    <col min="6" max="26" width="9.140625" style="15" customWidth="1"/>
    <col min="27" max="64" width="12.7109375" style="15" customWidth="1"/>
  </cols>
  <sheetData>
    <row r="1" spans="1:26" ht="12.75" customHeight="1" x14ac:dyDescent="0.2">
      <c r="A1" s="166" t="s">
        <v>186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2.75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75" customHeight="1" x14ac:dyDescent="0.2">
      <c r="A3" s="140" t="s">
        <v>187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2.75" customHeight="1" x14ac:dyDescent="0.2">
      <c r="A4" s="140" t="s">
        <v>188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25.5" customHeight="1" x14ac:dyDescent="0.2">
      <c r="A5" s="4" t="s">
        <v>189</v>
      </c>
      <c r="B5" s="4"/>
      <c r="C5" s="4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2.75" customHeight="1" x14ac:dyDescent="0.2">
      <c r="A6" s="140" t="s">
        <v>190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26.25" customHeight="1" x14ac:dyDescent="0.2">
      <c r="A7" s="4" t="s">
        <v>191</v>
      </c>
      <c r="B7" s="4"/>
      <c r="C7" s="4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2.75" customHeight="1" x14ac:dyDescent="0.2">
      <c r="A8" s="140" t="s">
        <v>192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2.75" customHeight="1" x14ac:dyDescent="0.2">
      <c r="A9" s="167" t="s">
        <v>193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2.75" customHeight="1" x14ac:dyDescent="0.2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2.75" customHeight="1" x14ac:dyDescent="0.25">
      <c r="A11" s="140"/>
      <c r="B11" s="3" t="s">
        <v>194</v>
      </c>
      <c r="C11" s="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2.75" customHeight="1" x14ac:dyDescent="0.25">
      <c r="A12" s="140"/>
      <c r="B12" s="168" t="s">
        <v>195</v>
      </c>
      <c r="C12" s="16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2.75" customHeight="1" x14ac:dyDescent="0.25">
      <c r="A13" s="140"/>
      <c r="B13" s="170" t="s">
        <v>196</v>
      </c>
      <c r="C13" s="171">
        <v>1932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2.75" customHeight="1" x14ac:dyDescent="0.25">
      <c r="A14" s="140"/>
      <c r="B14" s="172" t="s">
        <v>197</v>
      </c>
      <c r="C14" s="171">
        <v>2197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2.75" customHeight="1" x14ac:dyDescent="0.2">
      <c r="A15" s="140"/>
      <c r="B15" s="173" t="s">
        <v>198</v>
      </c>
      <c r="C15" s="174">
        <v>25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2.75" customHeight="1" x14ac:dyDescent="0.2">
      <c r="A16" s="140"/>
      <c r="B16" s="173" t="s">
        <v>199</v>
      </c>
      <c r="C16" s="174">
        <v>1463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2.75" customHeight="1" x14ac:dyDescent="0.2">
      <c r="A17" s="140"/>
      <c r="B17" s="173" t="s">
        <v>200</v>
      </c>
      <c r="C17" s="174">
        <v>321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2.75" customHeight="1" x14ac:dyDescent="0.2">
      <c r="A18" s="140"/>
      <c r="B18" s="173" t="s">
        <v>201</v>
      </c>
      <c r="C18" s="174">
        <v>12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12.75" customHeight="1" x14ac:dyDescent="0.2">
      <c r="A19" s="140"/>
      <c r="B19" s="173" t="s">
        <v>202</v>
      </c>
      <c r="C19" s="174">
        <v>339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12.75" customHeight="1" x14ac:dyDescent="0.2">
      <c r="A20" s="140"/>
      <c r="B20" s="173" t="s">
        <v>203</v>
      </c>
      <c r="C20" s="174">
        <v>0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12.75" customHeight="1" x14ac:dyDescent="0.2">
      <c r="A21" s="140"/>
      <c r="B21" s="173" t="s">
        <v>204</v>
      </c>
      <c r="C21" s="174">
        <v>22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12.75" customHeight="1" x14ac:dyDescent="0.2">
      <c r="A22" s="140"/>
      <c r="B22" s="175" t="s">
        <v>205</v>
      </c>
      <c r="C22" s="176">
        <v>0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12.75" customHeight="1" x14ac:dyDescent="0.2">
      <c r="A23" s="140"/>
      <c r="B23" s="177" t="s">
        <v>206</v>
      </c>
      <c r="C23" s="176">
        <v>0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12.75" customHeight="1" x14ac:dyDescent="0.25">
      <c r="A24" s="140" t="s">
        <v>207</v>
      </c>
      <c r="B24" s="168" t="s">
        <v>208</v>
      </c>
      <c r="C24" s="169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12.75" customHeight="1" x14ac:dyDescent="0.2">
      <c r="A25" s="140"/>
      <c r="B25" s="178" t="s">
        <v>209</v>
      </c>
      <c r="C25" s="179">
        <v>5183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2.75" customHeight="1" x14ac:dyDescent="0.2">
      <c r="A26" s="140"/>
      <c r="B26" s="173" t="s">
        <v>210</v>
      </c>
      <c r="C26" s="174">
        <v>4918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12.75" customHeight="1" x14ac:dyDescent="0.2">
      <c r="A27" s="140"/>
      <c r="B27" s="173" t="s">
        <v>211</v>
      </c>
      <c r="C27" s="180">
        <f>C13-C14</f>
        <v>-265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12.75" customHeight="1" x14ac:dyDescent="0.2">
      <c r="A28" s="140"/>
      <c r="B28" s="181"/>
      <c r="C28" s="182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12.75" customHeight="1" x14ac:dyDescent="0.25">
      <c r="A29" s="166"/>
      <c r="B29" s="170" t="s">
        <v>212</v>
      </c>
      <c r="C29" s="183">
        <f>MEDIAN(C25,C26)</f>
        <v>5050.5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spans="1:26" ht="12.75" customHeight="1" x14ac:dyDescent="0.25">
      <c r="A30" s="140"/>
      <c r="B30" s="172" t="s">
        <v>213</v>
      </c>
      <c r="C30" s="184">
        <f>C16/C29</f>
        <v>0.28967428967428965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12.75" customHeight="1" x14ac:dyDescent="0.25">
      <c r="A31" s="140"/>
      <c r="B31" s="172" t="s">
        <v>214</v>
      </c>
      <c r="C31" s="184">
        <f>MEDIAN(C13,C14)/C29</f>
        <v>0.40877140877140877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12.75" customHeight="1" x14ac:dyDescent="0.25">
      <c r="A32" s="166"/>
      <c r="B32" s="172" t="s">
        <v>215</v>
      </c>
      <c r="C32" s="185">
        <f>12/C31</f>
        <v>29.356260595785905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spans="1:26" ht="12.75" customHeight="1" x14ac:dyDescent="0.25">
      <c r="A33" s="140"/>
      <c r="B33" s="172" t="s">
        <v>216</v>
      </c>
      <c r="C33" s="186">
        <v>360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12.75" customHeight="1" x14ac:dyDescent="0.25">
      <c r="A34" s="140"/>
      <c r="B34" s="172" t="s">
        <v>217</v>
      </c>
      <c r="C34" s="186">
        <v>10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12.75" customHeight="1" x14ac:dyDescent="0.25">
      <c r="A35" s="140"/>
      <c r="B35" s="170" t="s">
        <v>218</v>
      </c>
      <c r="C35" s="183">
        <v>30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12.75" customHeight="1" x14ac:dyDescent="0.25">
      <c r="A36" s="140"/>
      <c r="B36" s="170" t="s">
        <v>219</v>
      </c>
      <c r="C36" s="183">
        <v>30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12.75" customHeight="1" x14ac:dyDescent="0.25">
      <c r="A37" s="166"/>
      <c r="B37" s="170" t="s">
        <v>220</v>
      </c>
      <c r="C37" s="183">
        <f>30+(3*TRUNC(1/C31))</f>
        <v>36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spans="1:26" ht="12.75" customHeight="1" x14ac:dyDescent="0.25">
      <c r="A38" s="166"/>
      <c r="B38" s="172" t="s">
        <v>150</v>
      </c>
      <c r="C38" s="187">
        <v>0.08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ht="12.75" customHeight="1" x14ac:dyDescent="0.25">
      <c r="A39" s="166"/>
      <c r="B39" s="188" t="s">
        <v>221</v>
      </c>
      <c r="C39" s="189">
        <v>0.4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</row>
  </sheetData>
  <mergeCells count="3">
    <mergeCell ref="A5:C5"/>
    <mergeCell ref="A7:C7"/>
    <mergeCell ref="B11:C11"/>
  </mergeCells>
  <pageMargins left="0.905555555555556" right="0.51180555555555596" top="0.74791666666666701" bottom="0.74791666666666701" header="0.511811023622047" footer="0.511811023622047"/>
  <pageSetup paperSize="9" scale="98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1"/>
  <sheetViews>
    <sheetView topLeftCell="A7" zoomScale="95" zoomScaleNormal="95" workbookViewId="0">
      <selection activeCell="E16" sqref="E16"/>
    </sheetView>
  </sheetViews>
  <sheetFormatPr defaultColWidth="11.5703125" defaultRowHeight="12.75" customHeight="1" x14ac:dyDescent="0.2"/>
  <cols>
    <col min="1" max="1" width="41.85546875" style="15" customWidth="1"/>
    <col min="2" max="2" width="5.42578125" style="15" customWidth="1"/>
    <col min="3" max="3" width="8.5703125" style="15" customWidth="1"/>
    <col min="4" max="4" width="9.5703125" style="15" customWidth="1"/>
    <col min="5" max="5" width="8" style="15" customWidth="1"/>
    <col min="6" max="6" width="9.5703125" style="15" customWidth="1"/>
    <col min="7" max="26" width="8.5703125" style="15" customWidth="1"/>
    <col min="27" max="64" width="12.7109375" style="15" customWidth="1"/>
  </cols>
  <sheetData>
    <row r="1" spans="1:26" ht="12.75" customHeight="1" x14ac:dyDescent="0.2">
      <c r="A1" s="50" t="s">
        <v>126</v>
      </c>
      <c r="B1" s="30"/>
      <c r="C1" s="30"/>
      <c r="D1" s="190"/>
      <c r="E1" s="191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6" ht="12.75" customHeight="1" x14ac:dyDescent="0.2">
      <c r="A2" s="20" t="s">
        <v>222</v>
      </c>
      <c r="B2" s="30"/>
      <c r="C2" s="30"/>
      <c r="D2" s="190"/>
      <c r="E2" s="191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12.75" customHeight="1" x14ac:dyDescent="0.2">
      <c r="A3" s="17" t="s">
        <v>223</v>
      </c>
      <c r="B3" s="30"/>
      <c r="C3" s="30"/>
      <c r="D3" s="190"/>
      <c r="E3" s="191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</row>
    <row r="4" spans="1:26" ht="12.75" customHeight="1" x14ac:dyDescent="0.2">
      <c r="A4" s="17"/>
      <c r="B4" s="30"/>
      <c r="C4" s="30"/>
      <c r="D4" s="190"/>
      <c r="E4" s="191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</row>
    <row r="5" spans="1:26" ht="15" hidden="1" customHeight="1" x14ac:dyDescent="0.2">
      <c r="A5" s="141" t="s">
        <v>128</v>
      </c>
      <c r="B5" s="20"/>
      <c r="C5" s="20"/>
      <c r="D5" s="20"/>
      <c r="E5" s="20"/>
      <c r="F5" s="20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6.5" customHeight="1" x14ac:dyDescent="0.2">
      <c r="A6" s="18" t="s">
        <v>224</v>
      </c>
      <c r="B6" s="20"/>
      <c r="C6" s="20"/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6.5" customHeight="1" x14ac:dyDescent="0.2">
      <c r="A7" s="18" t="s">
        <v>225</v>
      </c>
      <c r="B7" s="20"/>
      <c r="C7" s="2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 x14ac:dyDescent="0.2">
      <c r="A8" s="190"/>
      <c r="B8" s="30"/>
      <c r="C8" s="30"/>
      <c r="D8" s="190"/>
      <c r="E8" s="191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12.75" customHeight="1" x14ac:dyDescent="0.2">
      <c r="A9" s="2" t="s">
        <v>226</v>
      </c>
      <c r="B9" s="2"/>
      <c r="C9" s="2"/>
      <c r="D9" s="2"/>
      <c r="E9" s="2"/>
      <c r="F9" s="2"/>
    </row>
    <row r="10" spans="1:26" ht="12.75" customHeight="1" x14ac:dyDescent="0.2">
      <c r="A10" s="192"/>
      <c r="B10" s="193"/>
      <c r="C10" s="193"/>
      <c r="D10" s="193"/>
      <c r="E10" s="193"/>
      <c r="F10" s="194"/>
    </row>
    <row r="11" spans="1:26" ht="12.75" customHeight="1" x14ac:dyDescent="0.25">
      <c r="A11" s="195"/>
      <c r="B11" s="30"/>
      <c r="C11" s="30"/>
      <c r="D11" s="1" t="s">
        <v>227</v>
      </c>
      <c r="E11" s="1"/>
      <c r="F11" s="1"/>
      <c r="G11" s="190"/>
      <c r="H11" s="190"/>
    </row>
    <row r="12" spans="1:26" ht="12.75" customHeight="1" x14ac:dyDescent="0.2">
      <c r="A12" s="181"/>
      <c r="B12" s="190"/>
      <c r="C12" s="190"/>
      <c r="D12" s="196" t="s">
        <v>228</v>
      </c>
      <c r="E12" s="197" t="s">
        <v>229</v>
      </c>
      <c r="F12" s="198" t="s">
        <v>230</v>
      </c>
      <c r="G12" s="190"/>
      <c r="H12" s="190"/>
    </row>
    <row r="13" spans="1:26" ht="12.75" customHeight="1" x14ac:dyDescent="0.2">
      <c r="A13" s="199" t="s">
        <v>231</v>
      </c>
      <c r="B13" s="200" t="s">
        <v>232</v>
      </c>
      <c r="C13" s="201">
        <v>2.9700000000000001E-2</v>
      </c>
      <c r="D13" s="202">
        <v>2.9700000000000001E-2</v>
      </c>
      <c r="E13" s="203">
        <v>5.0799999999999998E-2</v>
      </c>
      <c r="F13" s="204">
        <v>6.2700000000000006E-2</v>
      </c>
      <c r="G13" s="190"/>
      <c r="H13" s="190"/>
    </row>
    <row r="14" spans="1:26" ht="12.75" customHeight="1" x14ac:dyDescent="0.2">
      <c r="A14" s="143" t="s">
        <v>233</v>
      </c>
      <c r="B14" s="205" t="s">
        <v>234</v>
      </c>
      <c r="C14" s="206">
        <v>8.6E-3</v>
      </c>
      <c r="D14" s="202">
        <f>0.3%+0.56%</f>
        <v>8.6E-3</v>
      </c>
      <c r="E14" s="203">
        <f>0.48%+0.85%</f>
        <v>1.3299999999999999E-2</v>
      </c>
      <c r="F14" s="204">
        <f>0.82%+0.89%</f>
        <v>1.7099999999999997E-2</v>
      </c>
      <c r="G14" s="190"/>
      <c r="H14" s="190"/>
    </row>
    <row r="15" spans="1:26" ht="12.75" customHeight="1" x14ac:dyDescent="0.2">
      <c r="A15" s="143" t="s">
        <v>235</v>
      </c>
      <c r="B15" s="205" t="s">
        <v>236</v>
      </c>
      <c r="C15" s="206">
        <v>7.7799999999999994E-2</v>
      </c>
      <c r="D15" s="202">
        <v>7.7799999999999994E-2</v>
      </c>
      <c r="E15" s="203">
        <v>0.1085</v>
      </c>
      <c r="F15" s="204">
        <v>0.13550000000000001</v>
      </c>
      <c r="G15" s="190"/>
      <c r="H15" s="190"/>
    </row>
    <row r="16" spans="1:26" ht="12.75" customHeight="1" x14ac:dyDescent="0.2">
      <c r="A16" s="143" t="s">
        <v>237</v>
      </c>
      <c r="B16" s="205" t="s">
        <v>238</v>
      </c>
      <c r="C16" s="207">
        <f>(1+E16)^(E17/252)-1</f>
        <v>2.776902884110477E-3</v>
      </c>
      <c r="D16" s="202" t="s">
        <v>239</v>
      </c>
      <c r="E16" s="208">
        <v>0.15</v>
      </c>
      <c r="F16" s="209"/>
      <c r="G16" s="190"/>
      <c r="H16" s="190"/>
    </row>
    <row r="17" spans="1:8" ht="12.75" customHeight="1" x14ac:dyDescent="0.2">
      <c r="A17" s="143" t="s">
        <v>240</v>
      </c>
      <c r="B17" s="239" t="s">
        <v>241</v>
      </c>
      <c r="C17" s="206">
        <v>0.03</v>
      </c>
      <c r="D17" s="210" t="s">
        <v>242</v>
      </c>
      <c r="E17" s="211">
        <v>5</v>
      </c>
      <c r="F17" s="180"/>
      <c r="G17" s="190"/>
      <c r="H17" s="190"/>
    </row>
    <row r="18" spans="1:8" ht="12.75" customHeight="1" x14ac:dyDescent="0.2">
      <c r="A18" s="212" t="s">
        <v>243</v>
      </c>
      <c r="B18" s="239"/>
      <c r="C18" s="213">
        <v>3.6499999999999998E-2</v>
      </c>
      <c r="D18" s="173"/>
      <c r="E18" s="214"/>
      <c r="F18" s="180"/>
      <c r="G18" s="190"/>
      <c r="H18" s="190"/>
    </row>
    <row r="19" spans="1:8" ht="12.75" customHeight="1" x14ac:dyDescent="0.2">
      <c r="A19" s="215" t="s">
        <v>244</v>
      </c>
      <c r="B19" s="216"/>
      <c r="C19" s="217"/>
      <c r="D19" s="173"/>
      <c r="E19" s="214"/>
      <c r="F19" s="180"/>
      <c r="G19" s="190"/>
      <c r="H19" s="190"/>
    </row>
    <row r="20" spans="1:8" ht="12.75" customHeight="1" x14ac:dyDescent="0.2">
      <c r="A20" s="218" t="s">
        <v>245</v>
      </c>
      <c r="B20" s="219"/>
      <c r="C20" s="220"/>
      <c r="D20" s="173"/>
      <c r="E20" s="214"/>
      <c r="F20" s="180"/>
      <c r="G20" s="190"/>
      <c r="H20" s="190"/>
    </row>
    <row r="21" spans="1:8" ht="12.75" customHeight="1" x14ac:dyDescent="0.2">
      <c r="A21" s="221" t="s">
        <v>246</v>
      </c>
      <c r="B21" s="222"/>
      <c r="C21" s="223">
        <f>ROUND((((1+C13+C14)*(1+C15)*(1+C16))/(1-(C17+C18))-1),4)</f>
        <v>0.2021</v>
      </c>
      <c r="D21" s="224">
        <v>0.21429999999999999</v>
      </c>
      <c r="E21" s="225">
        <v>0.2717</v>
      </c>
      <c r="F21" s="226">
        <v>0.3362</v>
      </c>
      <c r="G21" s="190"/>
      <c r="H21" s="190"/>
    </row>
  </sheetData>
  <mergeCells count="3">
    <mergeCell ref="A9:F9"/>
    <mergeCell ref="D11:F11"/>
    <mergeCell ref="B17:B18"/>
  </mergeCells>
  <pageMargins left="0.905555555555556" right="0.51180555555555596" top="0.74791666666666701" bottom="0.74791666666666701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00"/>
  <sheetViews>
    <sheetView zoomScale="95" zoomScaleNormal="95" workbookViewId="0"/>
  </sheetViews>
  <sheetFormatPr defaultColWidth="11.5703125" defaultRowHeight="12.75" customHeight="1" x14ac:dyDescent="0.2"/>
  <cols>
    <col min="1" max="1" width="24.42578125" style="15" customWidth="1"/>
    <col min="2" max="2" width="20.85546875" style="15" customWidth="1"/>
    <col min="3" max="26" width="9.140625" style="15" customWidth="1"/>
    <col min="27" max="64" width="12.7109375" style="15" customWidth="1"/>
  </cols>
  <sheetData>
    <row r="1" spans="1:26" ht="19.5" customHeight="1" x14ac:dyDescent="0.2">
      <c r="A1" s="240" t="s">
        <v>247</v>
      </c>
      <c r="B1" s="2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9.5" customHeight="1" x14ac:dyDescent="0.2">
      <c r="A2" s="227" t="s">
        <v>248</v>
      </c>
      <c r="B2" s="228" t="s">
        <v>249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26" ht="19.5" customHeight="1" x14ac:dyDescent="0.2">
      <c r="A3" s="229">
        <v>1</v>
      </c>
      <c r="B3" s="230">
        <v>33.630000000000003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9.5" customHeight="1" x14ac:dyDescent="0.2">
      <c r="A4" s="229">
        <v>2</v>
      </c>
      <c r="B4" s="230">
        <v>43.13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19.5" customHeight="1" x14ac:dyDescent="0.2">
      <c r="A5" s="229">
        <v>3</v>
      </c>
      <c r="B5" s="230">
        <v>48.68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9.5" customHeight="1" x14ac:dyDescent="0.2">
      <c r="A6" s="229">
        <v>4</v>
      </c>
      <c r="B6" s="230">
        <v>52.62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19.5" customHeight="1" x14ac:dyDescent="0.2">
      <c r="A7" s="229">
        <v>5</v>
      </c>
      <c r="B7" s="230">
        <v>55.68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9.5" customHeight="1" x14ac:dyDescent="0.2">
      <c r="A8" s="229">
        <v>6</v>
      </c>
      <c r="B8" s="230">
        <v>58.18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9.5" customHeight="1" x14ac:dyDescent="0.2">
      <c r="A9" s="229">
        <v>7</v>
      </c>
      <c r="B9" s="230">
        <v>60.29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9.5" customHeight="1" x14ac:dyDescent="0.2">
      <c r="A10" s="229">
        <v>8</v>
      </c>
      <c r="B10" s="230">
        <v>62.12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9.5" customHeight="1" x14ac:dyDescent="0.2">
      <c r="A11" s="229">
        <v>9</v>
      </c>
      <c r="B11" s="230">
        <v>63.73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9.5" customHeight="1" x14ac:dyDescent="0.2">
      <c r="A12" s="229">
        <v>10</v>
      </c>
      <c r="B12" s="230">
        <v>65.180000000000007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9.5" customHeight="1" x14ac:dyDescent="0.2">
      <c r="A13" s="229">
        <v>11</v>
      </c>
      <c r="B13" s="230">
        <v>66.48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9.5" customHeight="1" x14ac:dyDescent="0.2">
      <c r="A14" s="229">
        <v>12</v>
      </c>
      <c r="B14" s="230">
        <v>67.67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9.5" customHeight="1" x14ac:dyDescent="0.2">
      <c r="A15" s="229">
        <v>13</v>
      </c>
      <c r="B15" s="230">
        <v>68.77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9.5" customHeight="1" x14ac:dyDescent="0.2">
      <c r="A16" s="229">
        <v>14</v>
      </c>
      <c r="B16" s="230">
        <v>69.790000000000006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9.5" customHeight="1" x14ac:dyDescent="0.2">
      <c r="A17" s="231">
        <v>15</v>
      </c>
      <c r="B17" s="232">
        <v>70.73</v>
      </c>
      <c r="C17" s="140"/>
      <c r="D17" s="233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9.5" customHeight="1" x14ac:dyDescent="0.2"/>
    <row r="19" spans="1:26" ht="19.5" customHeight="1" x14ac:dyDescent="0.2"/>
    <row r="20" spans="1:26" ht="19.5" customHeight="1" x14ac:dyDescent="0.2"/>
    <row r="21" spans="1:26" ht="19.5" customHeight="1" x14ac:dyDescent="0.2"/>
    <row r="22" spans="1:26" ht="19.5" customHeight="1" x14ac:dyDescent="0.2"/>
    <row r="23" spans="1:26" ht="19.5" customHeight="1" x14ac:dyDescent="0.2"/>
    <row r="24" spans="1:26" ht="19.5" customHeight="1" x14ac:dyDescent="0.2"/>
    <row r="25" spans="1:26" ht="19.5" customHeight="1" x14ac:dyDescent="0.2"/>
    <row r="26" spans="1:26" ht="19.5" customHeight="1" x14ac:dyDescent="0.2"/>
    <row r="27" spans="1:26" ht="19.5" customHeight="1" x14ac:dyDescent="0.2"/>
    <row r="28" spans="1:26" ht="19.5" customHeight="1" x14ac:dyDescent="0.2"/>
    <row r="29" spans="1:26" ht="19.5" customHeight="1" x14ac:dyDescent="0.2"/>
    <row r="30" spans="1:26" ht="19.5" customHeight="1" x14ac:dyDescent="0.2"/>
    <row r="31" spans="1:26" ht="19.5" customHeight="1" x14ac:dyDescent="0.2"/>
    <row r="32" spans="1:26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  <row r="538" ht="19.5" customHeight="1" x14ac:dyDescent="0.2"/>
    <row r="539" ht="19.5" customHeight="1" x14ac:dyDescent="0.2"/>
    <row r="540" ht="19.5" customHeight="1" x14ac:dyDescent="0.2"/>
    <row r="541" ht="19.5" customHeight="1" x14ac:dyDescent="0.2"/>
    <row r="542" ht="19.5" customHeight="1" x14ac:dyDescent="0.2"/>
    <row r="543" ht="19.5" customHeight="1" x14ac:dyDescent="0.2"/>
    <row r="544" ht="19.5" customHeight="1" x14ac:dyDescent="0.2"/>
    <row r="545" ht="19.5" customHeight="1" x14ac:dyDescent="0.2"/>
    <row r="546" ht="19.5" customHeight="1" x14ac:dyDescent="0.2"/>
    <row r="547" ht="19.5" customHeight="1" x14ac:dyDescent="0.2"/>
    <row r="548" ht="19.5" customHeight="1" x14ac:dyDescent="0.2"/>
    <row r="549" ht="19.5" customHeight="1" x14ac:dyDescent="0.2"/>
    <row r="550" ht="19.5" customHeight="1" x14ac:dyDescent="0.2"/>
    <row r="551" ht="19.5" customHeight="1" x14ac:dyDescent="0.2"/>
    <row r="552" ht="19.5" customHeight="1" x14ac:dyDescent="0.2"/>
    <row r="553" ht="19.5" customHeight="1" x14ac:dyDescent="0.2"/>
    <row r="554" ht="19.5" customHeight="1" x14ac:dyDescent="0.2"/>
    <row r="555" ht="19.5" customHeight="1" x14ac:dyDescent="0.2"/>
    <row r="556" ht="19.5" customHeight="1" x14ac:dyDescent="0.2"/>
    <row r="557" ht="19.5" customHeight="1" x14ac:dyDescent="0.2"/>
    <row r="558" ht="19.5" customHeight="1" x14ac:dyDescent="0.2"/>
    <row r="559" ht="19.5" customHeight="1" x14ac:dyDescent="0.2"/>
    <row r="560" ht="19.5" customHeight="1" x14ac:dyDescent="0.2"/>
    <row r="561" ht="19.5" customHeight="1" x14ac:dyDescent="0.2"/>
    <row r="562" ht="19.5" customHeight="1" x14ac:dyDescent="0.2"/>
    <row r="563" ht="19.5" customHeight="1" x14ac:dyDescent="0.2"/>
    <row r="564" ht="19.5" customHeight="1" x14ac:dyDescent="0.2"/>
    <row r="565" ht="19.5" customHeight="1" x14ac:dyDescent="0.2"/>
    <row r="566" ht="19.5" customHeight="1" x14ac:dyDescent="0.2"/>
    <row r="567" ht="19.5" customHeight="1" x14ac:dyDescent="0.2"/>
    <row r="568" ht="19.5" customHeight="1" x14ac:dyDescent="0.2"/>
    <row r="569" ht="19.5" customHeight="1" x14ac:dyDescent="0.2"/>
    <row r="570" ht="19.5" customHeight="1" x14ac:dyDescent="0.2"/>
    <row r="571" ht="19.5" customHeight="1" x14ac:dyDescent="0.2"/>
    <row r="572" ht="19.5" customHeight="1" x14ac:dyDescent="0.2"/>
    <row r="573" ht="19.5" customHeight="1" x14ac:dyDescent="0.2"/>
    <row r="574" ht="19.5" customHeight="1" x14ac:dyDescent="0.2"/>
    <row r="575" ht="19.5" customHeight="1" x14ac:dyDescent="0.2"/>
    <row r="576" ht="19.5" customHeight="1" x14ac:dyDescent="0.2"/>
    <row r="577" ht="19.5" customHeight="1" x14ac:dyDescent="0.2"/>
    <row r="578" ht="19.5" customHeight="1" x14ac:dyDescent="0.2"/>
    <row r="579" ht="19.5" customHeight="1" x14ac:dyDescent="0.2"/>
    <row r="580" ht="19.5" customHeight="1" x14ac:dyDescent="0.2"/>
    <row r="581" ht="19.5" customHeight="1" x14ac:dyDescent="0.2"/>
    <row r="582" ht="19.5" customHeight="1" x14ac:dyDescent="0.2"/>
    <row r="583" ht="19.5" customHeight="1" x14ac:dyDescent="0.2"/>
    <row r="584" ht="19.5" customHeight="1" x14ac:dyDescent="0.2"/>
    <row r="585" ht="19.5" customHeight="1" x14ac:dyDescent="0.2"/>
    <row r="586" ht="19.5" customHeight="1" x14ac:dyDescent="0.2"/>
    <row r="587" ht="19.5" customHeight="1" x14ac:dyDescent="0.2"/>
    <row r="588" ht="19.5" customHeight="1" x14ac:dyDescent="0.2"/>
    <row r="589" ht="19.5" customHeight="1" x14ac:dyDescent="0.2"/>
    <row r="590" ht="19.5" customHeight="1" x14ac:dyDescent="0.2"/>
    <row r="591" ht="19.5" customHeight="1" x14ac:dyDescent="0.2"/>
    <row r="592" ht="19.5" customHeight="1" x14ac:dyDescent="0.2"/>
    <row r="593" ht="19.5" customHeight="1" x14ac:dyDescent="0.2"/>
    <row r="594" ht="19.5" customHeight="1" x14ac:dyDescent="0.2"/>
    <row r="595" ht="19.5" customHeight="1" x14ac:dyDescent="0.2"/>
    <row r="596" ht="19.5" customHeight="1" x14ac:dyDescent="0.2"/>
    <row r="597" ht="19.5" customHeight="1" x14ac:dyDescent="0.2"/>
    <row r="598" ht="19.5" customHeight="1" x14ac:dyDescent="0.2"/>
    <row r="599" ht="19.5" customHeight="1" x14ac:dyDescent="0.2"/>
    <row r="600" ht="19.5" customHeight="1" x14ac:dyDescent="0.2"/>
    <row r="601" ht="19.5" customHeight="1" x14ac:dyDescent="0.2"/>
    <row r="602" ht="19.5" customHeight="1" x14ac:dyDescent="0.2"/>
    <row r="603" ht="19.5" customHeight="1" x14ac:dyDescent="0.2"/>
    <row r="604" ht="19.5" customHeight="1" x14ac:dyDescent="0.2"/>
    <row r="605" ht="19.5" customHeight="1" x14ac:dyDescent="0.2"/>
    <row r="606" ht="19.5" customHeight="1" x14ac:dyDescent="0.2"/>
    <row r="607" ht="19.5" customHeight="1" x14ac:dyDescent="0.2"/>
    <row r="608" ht="19.5" customHeight="1" x14ac:dyDescent="0.2"/>
    <row r="609" ht="19.5" customHeight="1" x14ac:dyDescent="0.2"/>
    <row r="610" ht="19.5" customHeight="1" x14ac:dyDescent="0.2"/>
    <row r="611" ht="19.5" customHeight="1" x14ac:dyDescent="0.2"/>
    <row r="612" ht="19.5" customHeight="1" x14ac:dyDescent="0.2"/>
    <row r="613" ht="19.5" customHeight="1" x14ac:dyDescent="0.2"/>
    <row r="614" ht="19.5" customHeight="1" x14ac:dyDescent="0.2"/>
    <row r="615" ht="19.5" customHeight="1" x14ac:dyDescent="0.2"/>
    <row r="616" ht="19.5" customHeight="1" x14ac:dyDescent="0.2"/>
    <row r="617" ht="19.5" customHeight="1" x14ac:dyDescent="0.2"/>
    <row r="618" ht="19.5" customHeight="1" x14ac:dyDescent="0.2"/>
    <row r="619" ht="19.5" customHeight="1" x14ac:dyDescent="0.2"/>
    <row r="620" ht="19.5" customHeight="1" x14ac:dyDescent="0.2"/>
    <row r="621" ht="19.5" customHeight="1" x14ac:dyDescent="0.2"/>
    <row r="622" ht="19.5" customHeight="1" x14ac:dyDescent="0.2"/>
    <row r="623" ht="19.5" customHeight="1" x14ac:dyDescent="0.2"/>
    <row r="624" ht="19.5" customHeight="1" x14ac:dyDescent="0.2"/>
    <row r="625" ht="19.5" customHeight="1" x14ac:dyDescent="0.2"/>
    <row r="626" ht="19.5" customHeight="1" x14ac:dyDescent="0.2"/>
    <row r="627" ht="19.5" customHeight="1" x14ac:dyDescent="0.2"/>
    <row r="628" ht="19.5" customHeight="1" x14ac:dyDescent="0.2"/>
    <row r="629" ht="19.5" customHeight="1" x14ac:dyDescent="0.2"/>
    <row r="630" ht="19.5" customHeight="1" x14ac:dyDescent="0.2"/>
    <row r="631" ht="19.5" customHeight="1" x14ac:dyDescent="0.2"/>
    <row r="632" ht="19.5" customHeight="1" x14ac:dyDescent="0.2"/>
    <row r="633" ht="19.5" customHeight="1" x14ac:dyDescent="0.2"/>
    <row r="634" ht="19.5" customHeight="1" x14ac:dyDescent="0.2"/>
    <row r="635" ht="19.5" customHeight="1" x14ac:dyDescent="0.2"/>
    <row r="636" ht="19.5" customHeight="1" x14ac:dyDescent="0.2"/>
    <row r="637" ht="19.5" customHeight="1" x14ac:dyDescent="0.2"/>
    <row r="638" ht="19.5" customHeight="1" x14ac:dyDescent="0.2"/>
    <row r="639" ht="19.5" customHeight="1" x14ac:dyDescent="0.2"/>
    <row r="640" ht="19.5" customHeight="1" x14ac:dyDescent="0.2"/>
    <row r="641" ht="19.5" customHeight="1" x14ac:dyDescent="0.2"/>
    <row r="642" ht="19.5" customHeight="1" x14ac:dyDescent="0.2"/>
    <row r="643" ht="19.5" customHeight="1" x14ac:dyDescent="0.2"/>
    <row r="644" ht="19.5" customHeight="1" x14ac:dyDescent="0.2"/>
    <row r="645" ht="19.5" customHeight="1" x14ac:dyDescent="0.2"/>
    <row r="646" ht="19.5" customHeight="1" x14ac:dyDescent="0.2"/>
    <row r="647" ht="19.5" customHeight="1" x14ac:dyDescent="0.2"/>
    <row r="648" ht="19.5" customHeight="1" x14ac:dyDescent="0.2"/>
    <row r="649" ht="19.5" customHeight="1" x14ac:dyDescent="0.2"/>
    <row r="650" ht="19.5" customHeight="1" x14ac:dyDescent="0.2"/>
    <row r="651" ht="19.5" customHeight="1" x14ac:dyDescent="0.2"/>
    <row r="652" ht="19.5" customHeight="1" x14ac:dyDescent="0.2"/>
    <row r="653" ht="19.5" customHeight="1" x14ac:dyDescent="0.2"/>
    <row r="654" ht="19.5" customHeight="1" x14ac:dyDescent="0.2"/>
    <row r="655" ht="19.5" customHeight="1" x14ac:dyDescent="0.2"/>
    <row r="656" ht="19.5" customHeight="1" x14ac:dyDescent="0.2"/>
    <row r="657" ht="19.5" customHeight="1" x14ac:dyDescent="0.2"/>
    <row r="658" ht="19.5" customHeight="1" x14ac:dyDescent="0.2"/>
    <row r="659" ht="19.5" customHeight="1" x14ac:dyDescent="0.2"/>
    <row r="660" ht="19.5" customHeight="1" x14ac:dyDescent="0.2"/>
    <row r="661" ht="19.5" customHeight="1" x14ac:dyDescent="0.2"/>
    <row r="662" ht="19.5" customHeight="1" x14ac:dyDescent="0.2"/>
    <row r="663" ht="19.5" customHeight="1" x14ac:dyDescent="0.2"/>
    <row r="664" ht="19.5" customHeight="1" x14ac:dyDescent="0.2"/>
    <row r="665" ht="19.5" customHeight="1" x14ac:dyDescent="0.2"/>
    <row r="666" ht="19.5" customHeight="1" x14ac:dyDescent="0.2"/>
    <row r="667" ht="19.5" customHeight="1" x14ac:dyDescent="0.2"/>
    <row r="668" ht="19.5" customHeight="1" x14ac:dyDescent="0.2"/>
    <row r="669" ht="19.5" customHeight="1" x14ac:dyDescent="0.2"/>
    <row r="670" ht="19.5" customHeight="1" x14ac:dyDescent="0.2"/>
    <row r="671" ht="19.5" customHeight="1" x14ac:dyDescent="0.2"/>
    <row r="672" ht="19.5" customHeight="1" x14ac:dyDescent="0.2"/>
    <row r="673" ht="19.5" customHeight="1" x14ac:dyDescent="0.2"/>
    <row r="674" ht="19.5" customHeight="1" x14ac:dyDescent="0.2"/>
    <row r="675" ht="19.5" customHeight="1" x14ac:dyDescent="0.2"/>
    <row r="676" ht="19.5" customHeight="1" x14ac:dyDescent="0.2"/>
    <row r="677" ht="19.5" customHeight="1" x14ac:dyDescent="0.2"/>
    <row r="678" ht="19.5" customHeight="1" x14ac:dyDescent="0.2"/>
    <row r="679" ht="19.5" customHeight="1" x14ac:dyDescent="0.2"/>
    <row r="680" ht="19.5" customHeight="1" x14ac:dyDescent="0.2"/>
    <row r="681" ht="19.5" customHeight="1" x14ac:dyDescent="0.2"/>
    <row r="682" ht="19.5" customHeight="1" x14ac:dyDescent="0.2"/>
    <row r="683" ht="19.5" customHeight="1" x14ac:dyDescent="0.2"/>
    <row r="684" ht="19.5" customHeight="1" x14ac:dyDescent="0.2"/>
    <row r="685" ht="19.5" customHeight="1" x14ac:dyDescent="0.2"/>
    <row r="686" ht="19.5" customHeight="1" x14ac:dyDescent="0.2"/>
    <row r="687" ht="19.5" customHeight="1" x14ac:dyDescent="0.2"/>
    <row r="688" ht="19.5" customHeight="1" x14ac:dyDescent="0.2"/>
    <row r="689" ht="19.5" customHeight="1" x14ac:dyDescent="0.2"/>
    <row r="690" ht="19.5" customHeight="1" x14ac:dyDescent="0.2"/>
    <row r="691" ht="19.5" customHeight="1" x14ac:dyDescent="0.2"/>
    <row r="692" ht="19.5" customHeight="1" x14ac:dyDescent="0.2"/>
    <row r="693" ht="19.5" customHeight="1" x14ac:dyDescent="0.2"/>
    <row r="694" ht="19.5" customHeight="1" x14ac:dyDescent="0.2"/>
    <row r="695" ht="19.5" customHeight="1" x14ac:dyDescent="0.2"/>
    <row r="696" ht="19.5" customHeight="1" x14ac:dyDescent="0.2"/>
    <row r="697" ht="19.5" customHeight="1" x14ac:dyDescent="0.2"/>
    <row r="698" ht="19.5" customHeight="1" x14ac:dyDescent="0.2"/>
    <row r="699" ht="19.5" customHeight="1" x14ac:dyDescent="0.2"/>
    <row r="700" ht="19.5" customHeight="1" x14ac:dyDescent="0.2"/>
    <row r="701" ht="19.5" customHeight="1" x14ac:dyDescent="0.2"/>
    <row r="702" ht="19.5" customHeight="1" x14ac:dyDescent="0.2"/>
    <row r="703" ht="19.5" customHeight="1" x14ac:dyDescent="0.2"/>
    <row r="704" ht="19.5" customHeight="1" x14ac:dyDescent="0.2"/>
    <row r="705" ht="19.5" customHeight="1" x14ac:dyDescent="0.2"/>
    <row r="706" ht="19.5" customHeight="1" x14ac:dyDescent="0.2"/>
    <row r="707" ht="19.5" customHeight="1" x14ac:dyDescent="0.2"/>
    <row r="708" ht="19.5" customHeight="1" x14ac:dyDescent="0.2"/>
    <row r="709" ht="19.5" customHeight="1" x14ac:dyDescent="0.2"/>
    <row r="710" ht="19.5" customHeight="1" x14ac:dyDescent="0.2"/>
    <row r="711" ht="19.5" customHeight="1" x14ac:dyDescent="0.2"/>
    <row r="712" ht="19.5" customHeight="1" x14ac:dyDescent="0.2"/>
    <row r="713" ht="19.5" customHeight="1" x14ac:dyDescent="0.2"/>
    <row r="714" ht="19.5" customHeight="1" x14ac:dyDescent="0.2"/>
    <row r="715" ht="19.5" customHeight="1" x14ac:dyDescent="0.2"/>
    <row r="716" ht="19.5" customHeight="1" x14ac:dyDescent="0.2"/>
    <row r="717" ht="19.5" customHeight="1" x14ac:dyDescent="0.2"/>
    <row r="718" ht="19.5" customHeight="1" x14ac:dyDescent="0.2"/>
    <row r="719" ht="19.5" customHeight="1" x14ac:dyDescent="0.2"/>
    <row r="720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</sheetData>
  <mergeCells count="1">
    <mergeCell ref="A1:B1"/>
  </mergeCells>
  <pageMargins left="0.905555555555556" right="0.51180555555555596" top="0.74791666666666701" bottom="0.7479166666666670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9" zoomScaleNormal="100" workbookViewId="0">
      <selection activeCell="A5" sqref="A5"/>
    </sheetView>
  </sheetViews>
  <sheetFormatPr defaultColWidth="8.7109375" defaultRowHeight="12.75" customHeight="1" x14ac:dyDescent="0.2"/>
  <cols>
    <col min="1" max="1" width="29.42578125" style="15" customWidth="1"/>
    <col min="2" max="2" width="12.140625" style="15" customWidth="1"/>
    <col min="3" max="3" width="10.5703125" style="15" customWidth="1"/>
    <col min="4" max="4" width="12.140625" style="15" customWidth="1"/>
  </cols>
  <sheetData>
    <row r="1" spans="1:4" ht="15.75" x14ac:dyDescent="0.25">
      <c r="A1" s="241" t="s">
        <v>250</v>
      </c>
      <c r="B1" s="241"/>
      <c r="C1" s="241"/>
      <c r="D1" s="241"/>
    </row>
    <row r="3" spans="1:4" ht="15.75" x14ac:dyDescent="0.25">
      <c r="A3" s="241" t="s">
        <v>251</v>
      </c>
      <c r="B3" s="241"/>
      <c r="C3" s="241"/>
      <c r="D3" s="241"/>
    </row>
    <row r="4" spans="1:4" x14ac:dyDescent="0.2">
      <c r="A4" s="234" t="s">
        <v>252</v>
      </c>
      <c r="B4" s="234" t="s">
        <v>134</v>
      </c>
      <c r="C4" s="234" t="s">
        <v>253</v>
      </c>
      <c r="D4" s="234" t="s">
        <v>254</v>
      </c>
    </row>
    <row r="5" spans="1:4" x14ac:dyDescent="0.2">
      <c r="A5" s="235" t="s">
        <v>255</v>
      </c>
      <c r="B5" s="236">
        <f>258.9/2</f>
        <v>129.44999999999999</v>
      </c>
      <c r="C5" s="236"/>
      <c r="D5" s="236">
        <f>SUM(B5:C5)</f>
        <v>129.44999999999999</v>
      </c>
    </row>
    <row r="6" spans="1:4" x14ac:dyDescent="0.2">
      <c r="A6" s="15" t="s">
        <v>256</v>
      </c>
      <c r="B6" s="236">
        <f>252.9/2</f>
        <v>126.45</v>
      </c>
      <c r="C6" s="236"/>
      <c r="D6" s="236">
        <f>SUM(B6:C6)</f>
        <v>126.45</v>
      </c>
    </row>
    <row r="7" spans="1:4" x14ac:dyDescent="0.2">
      <c r="A7" s="15" t="s">
        <v>255</v>
      </c>
      <c r="B7" s="236">
        <f>219.9/2</f>
        <v>109.95</v>
      </c>
      <c r="C7" s="236"/>
      <c r="D7" s="236">
        <f>SUM(B7:C7)</f>
        <v>109.95</v>
      </c>
    </row>
    <row r="8" spans="1:4" x14ac:dyDescent="0.2">
      <c r="A8" s="242" t="s">
        <v>257</v>
      </c>
      <c r="B8" s="242"/>
      <c r="C8" s="242"/>
      <c r="D8" s="237">
        <f>AVERAGE(D5:D7)</f>
        <v>121.94999999999999</v>
      </c>
    </row>
    <row r="9" spans="1:4" x14ac:dyDescent="0.2">
      <c r="A9" s="15" t="s">
        <v>258</v>
      </c>
      <c r="B9" s="238"/>
      <c r="C9" s="238"/>
      <c r="D9" s="237"/>
    </row>
    <row r="11" spans="1:4" ht="15.75" x14ac:dyDescent="0.25">
      <c r="A11" s="241" t="s">
        <v>259</v>
      </c>
      <c r="B11" s="241"/>
      <c r="C11" s="241"/>
      <c r="D11" s="241"/>
    </row>
    <row r="12" spans="1:4" x14ac:dyDescent="0.2">
      <c r="A12" s="234" t="s">
        <v>252</v>
      </c>
      <c r="B12" s="234" t="s">
        <v>134</v>
      </c>
      <c r="C12" s="234" t="s">
        <v>253</v>
      </c>
      <c r="D12" s="234" t="s">
        <v>254</v>
      </c>
    </row>
    <row r="13" spans="1:4" x14ac:dyDescent="0.2">
      <c r="A13" s="235" t="s">
        <v>255</v>
      </c>
      <c r="B13" s="236">
        <f>258.9*2</f>
        <v>517.79999999999995</v>
      </c>
      <c r="C13" s="236"/>
      <c r="D13" s="236">
        <f>SUM(B13:C13)</f>
        <v>517.79999999999995</v>
      </c>
    </row>
    <row r="14" spans="1:4" x14ac:dyDescent="0.2">
      <c r="A14" s="15" t="s">
        <v>256</v>
      </c>
      <c r="B14" s="236">
        <f>252.9*2</f>
        <v>505.8</v>
      </c>
      <c r="C14" s="236"/>
      <c r="D14" s="236">
        <f>SUM(B14:C14)</f>
        <v>505.8</v>
      </c>
    </row>
    <row r="15" spans="1:4" x14ac:dyDescent="0.2">
      <c r="A15" s="15" t="s">
        <v>255</v>
      </c>
      <c r="B15" s="236">
        <f>219.9*2</f>
        <v>439.8</v>
      </c>
      <c r="C15" s="236"/>
      <c r="D15" s="236">
        <f>SUM(B15:C15)</f>
        <v>439.8</v>
      </c>
    </row>
    <row r="16" spans="1:4" x14ac:dyDescent="0.2">
      <c r="A16" s="242" t="s">
        <v>257</v>
      </c>
      <c r="B16" s="242"/>
      <c r="C16" s="242"/>
      <c r="D16" s="237">
        <f>AVERAGE(D13:D15)</f>
        <v>487.79999999999995</v>
      </c>
    </row>
    <row r="17" spans="1:4" x14ac:dyDescent="0.2">
      <c r="A17" s="15" t="s">
        <v>258</v>
      </c>
      <c r="B17" s="238"/>
      <c r="C17" s="238"/>
      <c r="D17" s="237"/>
    </row>
    <row r="19" spans="1:4" ht="15.75" x14ac:dyDescent="0.25">
      <c r="A19" s="241" t="s">
        <v>260</v>
      </c>
      <c r="B19" s="241"/>
      <c r="C19" s="241"/>
      <c r="D19" s="241"/>
    </row>
    <row r="20" spans="1:4" x14ac:dyDescent="0.2">
      <c r="A20" s="234" t="s">
        <v>252</v>
      </c>
      <c r="B20" s="234" t="s">
        <v>134</v>
      </c>
      <c r="C20" s="234" t="s">
        <v>254</v>
      </c>
    </row>
    <row r="21" spans="1:4" x14ac:dyDescent="0.2">
      <c r="A21" s="235" t="s">
        <v>261</v>
      </c>
      <c r="B21" s="236">
        <v>6.24</v>
      </c>
      <c r="C21" s="236">
        <f>SUM(B21)</f>
        <v>6.24</v>
      </c>
    </row>
    <row r="22" spans="1:4" x14ac:dyDescent="0.2">
      <c r="A22" s="235" t="s">
        <v>262</v>
      </c>
      <c r="B22" s="236">
        <v>6.1</v>
      </c>
      <c r="C22" s="236">
        <f>SUM(B22)</f>
        <v>6.1</v>
      </c>
    </row>
    <row r="23" spans="1:4" x14ac:dyDescent="0.2">
      <c r="A23" s="235" t="s">
        <v>263</v>
      </c>
      <c r="B23" s="236">
        <v>6.09</v>
      </c>
      <c r="C23" s="236">
        <f>SUM(B23)</f>
        <v>6.09</v>
      </c>
    </row>
    <row r="24" spans="1:4" x14ac:dyDescent="0.2">
      <c r="A24" s="242" t="s">
        <v>257</v>
      </c>
      <c r="B24" s="242"/>
      <c r="C24" s="237">
        <f>AVERAGE(C21:C23)</f>
        <v>6.1433333333333335</v>
      </c>
    </row>
    <row r="26" spans="1:4" ht="15.75" x14ac:dyDescent="0.25">
      <c r="A26" s="241" t="s">
        <v>264</v>
      </c>
      <c r="B26" s="241"/>
      <c r="C26" s="241"/>
      <c r="D26" s="241"/>
    </row>
    <row r="27" spans="1:4" x14ac:dyDescent="0.2">
      <c r="A27" s="234" t="s">
        <v>252</v>
      </c>
      <c r="B27" s="234" t="s">
        <v>134</v>
      </c>
      <c r="C27" s="234" t="s">
        <v>254</v>
      </c>
    </row>
    <row r="28" spans="1:4" x14ac:dyDescent="0.2">
      <c r="A28" s="235" t="s">
        <v>261</v>
      </c>
      <c r="B28" s="236">
        <v>49.9</v>
      </c>
      <c r="C28" s="236">
        <f>SUM(B28)</f>
        <v>49.9</v>
      </c>
    </row>
    <row r="29" spans="1:4" x14ac:dyDescent="0.2">
      <c r="A29" s="235" t="s">
        <v>262</v>
      </c>
      <c r="B29" s="236">
        <v>41.9</v>
      </c>
      <c r="C29" s="236">
        <f>SUM(B29)</f>
        <v>41.9</v>
      </c>
    </row>
    <row r="30" spans="1:4" x14ac:dyDescent="0.2">
      <c r="A30" s="235" t="s">
        <v>263</v>
      </c>
      <c r="B30" s="236">
        <v>40</v>
      </c>
      <c r="C30" s="236">
        <f>SUM(B30)</f>
        <v>40</v>
      </c>
    </row>
    <row r="31" spans="1:4" x14ac:dyDescent="0.2">
      <c r="A31" s="242" t="s">
        <v>257</v>
      </c>
      <c r="B31" s="242"/>
      <c r="C31" s="237">
        <f>AVERAGE(C28:C30)</f>
        <v>43.933333333333337</v>
      </c>
    </row>
    <row r="33" spans="1:4" ht="15.75" x14ac:dyDescent="0.25">
      <c r="A33" s="241" t="s">
        <v>265</v>
      </c>
      <c r="B33" s="241"/>
      <c r="C33" s="241"/>
      <c r="D33" s="241"/>
    </row>
    <row r="34" spans="1:4" x14ac:dyDescent="0.2">
      <c r="A34" s="234" t="s">
        <v>252</v>
      </c>
      <c r="B34" s="234" t="s">
        <v>134</v>
      </c>
      <c r="C34" s="234" t="s">
        <v>253</v>
      </c>
      <c r="D34" s="234" t="s">
        <v>254</v>
      </c>
    </row>
    <row r="35" spans="1:4" x14ac:dyDescent="0.2">
      <c r="A35" s="235" t="s">
        <v>266</v>
      </c>
      <c r="B35" s="236">
        <v>1590</v>
      </c>
      <c r="C35" s="236">
        <v>66.02</v>
      </c>
      <c r="D35" s="236">
        <f>SUM(B35:C35)</f>
        <v>1656.02</v>
      </c>
    </row>
    <row r="36" spans="1:4" x14ac:dyDescent="0.2">
      <c r="A36" s="235" t="s">
        <v>267</v>
      </c>
      <c r="B36" s="236">
        <v>1595.99</v>
      </c>
      <c r="C36" s="236">
        <v>92.5</v>
      </c>
      <c r="D36" s="236">
        <f>SUM(B36:C36)</f>
        <v>1688.49</v>
      </c>
    </row>
    <row r="37" spans="1:4" x14ac:dyDescent="0.2">
      <c r="A37" s="15" t="s">
        <v>268</v>
      </c>
      <c r="B37" s="236">
        <v>1505.68</v>
      </c>
      <c r="C37" s="236"/>
      <c r="D37" s="236">
        <f>SUM(B37:C37)</f>
        <v>1505.68</v>
      </c>
    </row>
    <row r="38" spans="1:4" x14ac:dyDescent="0.2">
      <c r="A38" s="242" t="s">
        <v>257</v>
      </c>
      <c r="B38" s="242"/>
      <c r="C38" s="242"/>
      <c r="D38" s="237">
        <f>AVERAGE(D35:D37)</f>
        <v>1616.7300000000002</v>
      </c>
    </row>
    <row r="40" spans="1:4" ht="15.75" x14ac:dyDescent="0.25">
      <c r="A40" s="241" t="s">
        <v>269</v>
      </c>
      <c r="B40" s="241"/>
      <c r="C40" s="241"/>
      <c r="D40" s="241"/>
    </row>
    <row r="41" spans="1:4" x14ac:dyDescent="0.2">
      <c r="A41" s="234" t="s">
        <v>252</v>
      </c>
      <c r="B41" s="234" t="s">
        <v>134</v>
      </c>
      <c r="C41" s="234" t="s">
        <v>253</v>
      </c>
      <c r="D41" s="234" t="s">
        <v>254</v>
      </c>
    </row>
    <row r="42" spans="1:4" x14ac:dyDescent="0.2">
      <c r="A42" s="15" t="s">
        <v>270</v>
      </c>
      <c r="B42" s="236">
        <v>752.4</v>
      </c>
      <c r="C42" s="236">
        <v>150</v>
      </c>
      <c r="D42" s="236">
        <f>SUM(B42:C42)</f>
        <v>902.4</v>
      </c>
    </row>
    <row r="43" spans="1:4" x14ac:dyDescent="0.2">
      <c r="A43" s="235" t="s">
        <v>266</v>
      </c>
      <c r="B43" s="236">
        <v>799</v>
      </c>
      <c r="C43" s="236">
        <v>75.27</v>
      </c>
      <c r="D43" s="236">
        <f>SUM(B43:C43)</f>
        <v>874.27</v>
      </c>
    </row>
    <row r="44" spans="1:4" x14ac:dyDescent="0.2">
      <c r="A44" s="15" t="s">
        <v>271</v>
      </c>
      <c r="B44" s="236">
        <v>799</v>
      </c>
      <c r="C44" s="236">
        <v>75.27</v>
      </c>
      <c r="D44" s="236">
        <f>SUM(B44:C44)</f>
        <v>874.27</v>
      </c>
    </row>
    <row r="45" spans="1:4" x14ac:dyDescent="0.2">
      <c r="A45" s="242" t="s">
        <v>257</v>
      </c>
      <c r="B45" s="242"/>
      <c r="C45" s="242"/>
      <c r="D45" s="237">
        <f>AVERAGE(D42:D44)</f>
        <v>883.64666666666665</v>
      </c>
    </row>
    <row r="47" spans="1:4" ht="15.75" x14ac:dyDescent="0.25">
      <c r="A47" s="241" t="s">
        <v>272</v>
      </c>
      <c r="B47" s="241"/>
      <c r="C47" s="241"/>
      <c r="D47" s="241"/>
    </row>
    <row r="48" spans="1:4" x14ac:dyDescent="0.2">
      <c r="A48" s="234" t="s">
        <v>252</v>
      </c>
      <c r="B48" s="234" t="s">
        <v>134</v>
      </c>
      <c r="C48" s="234" t="s">
        <v>253</v>
      </c>
      <c r="D48" s="234" t="s">
        <v>254</v>
      </c>
    </row>
    <row r="49" spans="1:4" x14ac:dyDescent="0.2">
      <c r="A49" s="15" t="s">
        <v>273</v>
      </c>
      <c r="B49" s="236">
        <v>2888</v>
      </c>
      <c r="C49" s="236"/>
      <c r="D49" s="236">
        <f>SUM(B49:C49)</f>
        <v>2888</v>
      </c>
    </row>
    <row r="50" spans="1:4" x14ac:dyDescent="0.2">
      <c r="A50" s="235" t="s">
        <v>266</v>
      </c>
      <c r="B50" s="236">
        <v>1950</v>
      </c>
      <c r="C50" s="236">
        <v>104.19</v>
      </c>
      <c r="D50" s="236">
        <f>SUM(B50:C50)</f>
        <v>2054.19</v>
      </c>
    </row>
    <row r="51" spans="1:4" x14ac:dyDescent="0.2">
      <c r="A51" s="15" t="s">
        <v>268</v>
      </c>
      <c r="B51" s="236">
        <v>1777.67</v>
      </c>
      <c r="C51" s="236"/>
      <c r="D51" s="236">
        <f>SUM(B51:C51)</f>
        <v>1777.67</v>
      </c>
    </row>
    <row r="52" spans="1:4" x14ac:dyDescent="0.2">
      <c r="A52" s="242" t="s">
        <v>257</v>
      </c>
      <c r="B52" s="242"/>
      <c r="C52" s="242"/>
      <c r="D52" s="237">
        <f>AVERAGE(D49:D51)</f>
        <v>2239.9533333333334</v>
      </c>
    </row>
  </sheetData>
  <mergeCells count="15">
    <mergeCell ref="A38:C38"/>
    <mergeCell ref="A40:D40"/>
    <mergeCell ref="A45:C45"/>
    <mergeCell ref="A47:D47"/>
    <mergeCell ref="A52:C52"/>
    <mergeCell ref="A19:D19"/>
    <mergeCell ref="A24:B24"/>
    <mergeCell ref="A26:D26"/>
    <mergeCell ref="A31:B31"/>
    <mergeCell ref="A33:D33"/>
    <mergeCell ref="A1:D1"/>
    <mergeCell ref="A3:D3"/>
    <mergeCell ref="A8:C8"/>
    <mergeCell ref="A11:D11"/>
    <mergeCell ref="A16:C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1. Transporte Escolar Van</vt:lpstr>
      <vt:lpstr>16.Encargos Sociais</vt:lpstr>
      <vt:lpstr>17.CAGED</vt:lpstr>
      <vt:lpstr>18.BDI</vt:lpstr>
      <vt:lpstr>19. Depreciação</vt:lpstr>
      <vt:lpstr>Médias</vt:lpstr>
      <vt:lpstr>AbaDeprec</vt:lpstr>
      <vt:lpstr>'1. Transporte Escolar Van'!Area_de_impressao</vt:lpstr>
      <vt:lpstr>'1. Transporte Escolar Van'!Print_Area_0_0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Burmeister Martins</dc:creator>
  <dc:description/>
  <cp:lastModifiedBy>SEC EDUCACAO</cp:lastModifiedBy>
  <cp:revision>40</cp:revision>
  <cp:lastPrinted>2024-05-14T12:23:10Z</cp:lastPrinted>
  <dcterms:created xsi:type="dcterms:W3CDTF">2000-12-13T10:02:50Z</dcterms:created>
  <dcterms:modified xsi:type="dcterms:W3CDTF">2026-02-10T19:52:54Z</dcterms:modified>
  <dc:language>pt-BR</dc:language>
</cp:coreProperties>
</file>